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definedNames>
    <definedName name="DışVeri_1" localSheetId="0">Sayfa1!$A$24:$D$50</definedName>
  </definedNames>
  <calcPr calcId="145621"/>
</workbook>
</file>

<file path=xl/calcChain.xml><?xml version="1.0" encoding="utf-8"?>
<calcChain xmlns="http://schemas.openxmlformats.org/spreadsheetml/2006/main">
  <c r="M57" i="1" l="1"/>
  <c r="O72" i="1"/>
  <c r="L72" i="1"/>
  <c r="O68" i="1"/>
  <c r="O69" i="1" s="1"/>
  <c r="L71" i="1"/>
  <c r="L70" i="1"/>
  <c r="L68" i="1"/>
  <c r="L69" i="1" s="1"/>
  <c r="O70" i="1" l="1"/>
  <c r="O71" i="1" s="1"/>
  <c r="P68" i="1" l="1"/>
  <c r="I68" i="1"/>
  <c r="O67" i="1"/>
  <c r="L67" i="1"/>
  <c r="H67" i="1"/>
  <c r="H66" i="1"/>
  <c r="H65" i="1"/>
  <c r="C69" i="1" l="1"/>
  <c r="C68" i="1"/>
  <c r="C67" i="1"/>
  <c r="C66" i="1"/>
  <c r="C65" i="1"/>
  <c r="P41" i="1" l="1"/>
  <c r="E57" i="1"/>
  <c r="E61" i="1"/>
  <c r="E59" i="1"/>
  <c r="F53" i="1"/>
  <c r="E53" i="1"/>
  <c r="G53" i="1" l="1"/>
  <c r="F27" i="1" l="1"/>
  <c r="Q41" i="1"/>
  <c r="R36" i="1" l="1"/>
  <c r="Q36" i="1"/>
  <c r="P36" i="1" l="1"/>
  <c r="L21" i="1" l="1"/>
  <c r="O22" i="1"/>
  <c r="L22" i="1"/>
  <c r="J35" i="1" s="1"/>
  <c r="J26" i="1" s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L40" i="1" l="1"/>
  <c r="O30" i="1" s="1"/>
  <c r="L42" i="1"/>
  <c r="Q30" i="1" s="1"/>
  <c r="J38" i="1"/>
  <c r="M26" i="1" s="1"/>
  <c r="J37" i="1"/>
  <c r="J41" i="1"/>
  <c r="P26" i="1" s="1"/>
  <c r="J39" i="1"/>
  <c r="N26" i="1" s="1"/>
  <c r="J36" i="1"/>
  <c r="K26" i="1" s="1"/>
  <c r="J40" i="1"/>
  <c r="O26" i="1" s="1"/>
  <c r="L37" i="1"/>
  <c r="L30" i="1" s="1"/>
  <c r="L41" i="1"/>
  <c r="P30" i="1" s="1"/>
  <c r="L38" i="1"/>
  <c r="M30" i="1" s="1"/>
  <c r="L35" i="1"/>
  <c r="J30" i="1" s="1"/>
  <c r="L39" i="1"/>
  <c r="N30" i="1" s="1"/>
  <c r="L36" i="1"/>
  <c r="K30" i="1" s="1"/>
  <c r="E55" i="1" l="1"/>
  <c r="L26" i="1"/>
</calcChain>
</file>

<file path=xl/connections.xml><?xml version="1.0" encoding="utf-8"?>
<connections xmlns="http://schemas.openxmlformats.org/spreadsheetml/2006/main">
  <connection id="1" name="Bağlantı1" type="4" refreshedVersion="3" background="1" saveData="1">
    <webPr sourceData="1" parsePre="1" consecutive="1" xl2000="1" url="file:///C:/Users/MEHMET%20PALA/Desktop/zafer%20pala%20dersler/borular/Teknik%20Tablo%20Dikişsiz%20Çelik%20Çekme%20Boru%20Ebatları%20(%20DIN%202448%20)%20ve%20Dayanma%20Basınç%20(BAR)%20Değerleri.htm" htmlTables="1">
      <tables count="1">
        <x v="1"/>
      </tables>
    </webPr>
  </connection>
</connections>
</file>

<file path=xl/sharedStrings.xml><?xml version="1.0" encoding="utf-8"?>
<sst xmlns="http://schemas.openxmlformats.org/spreadsheetml/2006/main" count="147" uniqueCount="102">
  <si>
    <t>T(˚C)</t>
  </si>
  <si>
    <t>ρ(kg/m³)</t>
  </si>
  <si>
    <t>cp(j/kg˚C)</t>
  </si>
  <si>
    <t>λ(w/m˚C)</t>
  </si>
  <si>
    <t>μx10⁻³</t>
  </si>
  <si>
    <t>νx10⁻⁶</t>
  </si>
  <si>
    <t>Prandtl</t>
  </si>
  <si>
    <t>hfg(kj/kg)</t>
  </si>
  <si>
    <t>Nom. Çap</t>
  </si>
  <si>
    <t>Dış çap</t>
  </si>
  <si>
    <t>Std.</t>
  </si>
  <si>
    <t>İç çap</t>
  </si>
  <si>
    <t xml:space="preserve">mm. </t>
  </si>
  <si>
    <t xml:space="preserve">Inch. </t>
  </si>
  <si>
    <t>dd(mm)</t>
  </si>
  <si>
    <t>Et. Kal(mm)</t>
  </si>
  <si>
    <t>di(mm)</t>
  </si>
  <si>
    <t>-</t>
  </si>
  <si>
    <r>
      <rPr>
        <b/>
        <sz val="12"/>
        <color theme="1"/>
        <rFont val="Arial"/>
        <family val="2"/>
        <charset val="162"/>
      </rPr>
      <t xml:space="preserve">Dikişsiz Çelik Çekme Boru Ebatları                                      (DIN 2448 ) </t>
    </r>
    <r>
      <rPr>
        <sz val="12"/>
        <color theme="1"/>
        <rFont val="Arial"/>
        <family val="2"/>
        <charset val="162"/>
      </rPr>
      <t xml:space="preserve">
</t>
    </r>
  </si>
  <si>
    <t>Akışkanların Verileri</t>
  </si>
  <si>
    <t>Giriş Sıc.</t>
  </si>
  <si>
    <t>Çıkış Sıc.</t>
  </si>
  <si>
    <t>K.Debi</t>
  </si>
  <si>
    <t>Soğuk Akışkan</t>
  </si>
  <si>
    <r>
      <t>m</t>
    </r>
    <r>
      <rPr>
        <sz val="8"/>
        <color theme="1"/>
        <rFont val="Arial"/>
        <family val="2"/>
        <charset val="162"/>
      </rPr>
      <t>0</t>
    </r>
    <r>
      <rPr>
        <sz val="12"/>
        <color theme="1"/>
        <rFont val="Arial"/>
        <family val="2"/>
        <charset val="162"/>
      </rPr>
      <t xml:space="preserve"> (kg/h)</t>
    </r>
  </si>
  <si>
    <r>
      <t>m</t>
    </r>
    <r>
      <rPr>
        <sz val="8"/>
        <color theme="1"/>
        <rFont val="Arial"/>
        <family val="2"/>
        <charset val="162"/>
      </rPr>
      <t>0</t>
    </r>
    <r>
      <rPr>
        <sz val="12"/>
        <color theme="1"/>
        <rFont val="Arial"/>
        <family val="2"/>
        <charset val="162"/>
      </rPr>
      <t xml:space="preserve"> (kg/s)</t>
    </r>
  </si>
  <si>
    <r>
      <t>T</t>
    </r>
    <r>
      <rPr>
        <sz val="8"/>
        <color theme="1"/>
        <rFont val="Arial"/>
        <family val="2"/>
        <charset val="162"/>
      </rPr>
      <t xml:space="preserve">01 </t>
    </r>
    <r>
      <rPr>
        <sz val="12"/>
        <color theme="1"/>
        <rFont val="Arial"/>
        <family val="2"/>
        <charset val="162"/>
      </rPr>
      <t>(</t>
    </r>
    <r>
      <rPr>
        <sz val="12"/>
        <color theme="1"/>
        <rFont val="Arial Tur"/>
        <charset val="162"/>
      </rPr>
      <t>°</t>
    </r>
    <r>
      <rPr>
        <sz val="12"/>
        <color theme="1"/>
        <rFont val="Arial"/>
        <family val="2"/>
        <charset val="162"/>
      </rPr>
      <t>C)</t>
    </r>
  </si>
  <si>
    <r>
      <t>T</t>
    </r>
    <r>
      <rPr>
        <sz val="8"/>
        <color theme="1"/>
        <rFont val="Arial"/>
        <family val="2"/>
        <charset val="162"/>
      </rPr>
      <t xml:space="preserve">02 </t>
    </r>
    <r>
      <rPr>
        <sz val="12"/>
        <color theme="1"/>
        <rFont val="Arial"/>
        <family val="2"/>
        <charset val="162"/>
      </rPr>
      <t>(</t>
    </r>
    <r>
      <rPr>
        <sz val="12"/>
        <color theme="1"/>
        <rFont val="Arial Tur"/>
        <charset val="162"/>
      </rPr>
      <t>°</t>
    </r>
    <r>
      <rPr>
        <sz val="12"/>
        <color theme="1"/>
        <rFont val="Arial"/>
        <family val="2"/>
        <charset val="162"/>
      </rPr>
      <t>C)</t>
    </r>
  </si>
  <si>
    <r>
      <t>T</t>
    </r>
    <r>
      <rPr>
        <sz val="8"/>
        <color theme="1"/>
        <rFont val="Arial"/>
        <family val="2"/>
        <charset val="162"/>
      </rPr>
      <t xml:space="preserve">s1 </t>
    </r>
    <r>
      <rPr>
        <sz val="12"/>
        <color theme="1"/>
        <rFont val="Arial"/>
        <family val="2"/>
        <charset val="162"/>
      </rPr>
      <t>(</t>
    </r>
    <r>
      <rPr>
        <sz val="12"/>
        <color theme="1"/>
        <rFont val="Arial Tur"/>
        <charset val="162"/>
      </rPr>
      <t>°</t>
    </r>
    <r>
      <rPr>
        <sz val="12"/>
        <color theme="1"/>
        <rFont val="Arial"/>
        <family val="2"/>
        <charset val="162"/>
      </rPr>
      <t>C)</t>
    </r>
  </si>
  <si>
    <r>
      <t>T</t>
    </r>
    <r>
      <rPr>
        <sz val="8"/>
        <color theme="1"/>
        <rFont val="Arial"/>
        <family val="2"/>
        <charset val="162"/>
      </rPr>
      <t xml:space="preserve">s2 </t>
    </r>
    <r>
      <rPr>
        <sz val="12"/>
        <color theme="1"/>
        <rFont val="Arial"/>
        <family val="2"/>
        <charset val="162"/>
      </rPr>
      <t>(</t>
    </r>
    <r>
      <rPr>
        <sz val="12"/>
        <color theme="1"/>
        <rFont val="Arial Tur"/>
        <charset val="162"/>
      </rPr>
      <t>°</t>
    </r>
    <r>
      <rPr>
        <sz val="12"/>
        <color theme="1"/>
        <rFont val="Arial"/>
        <family val="2"/>
        <charset val="162"/>
      </rPr>
      <t>C)</t>
    </r>
  </si>
  <si>
    <t>Sıcak Akışkan</t>
  </si>
  <si>
    <t>sıvı</t>
  </si>
  <si>
    <t>buhar</t>
  </si>
  <si>
    <t>(seçiniz)</t>
  </si>
  <si>
    <t>Ort.Sıc.</t>
  </si>
  <si>
    <r>
      <t>T</t>
    </r>
    <r>
      <rPr>
        <sz val="8"/>
        <color theme="1"/>
        <rFont val="Arial"/>
        <family val="2"/>
        <charset val="162"/>
      </rPr>
      <t xml:space="preserve">0 </t>
    </r>
    <r>
      <rPr>
        <sz val="12"/>
        <color theme="1"/>
        <rFont val="Arial"/>
        <family val="2"/>
        <charset val="162"/>
      </rPr>
      <t>(</t>
    </r>
    <r>
      <rPr>
        <sz val="12"/>
        <color theme="1"/>
        <rFont val="Arial Tur"/>
        <charset val="162"/>
      </rPr>
      <t>°</t>
    </r>
    <r>
      <rPr>
        <sz val="12"/>
        <color theme="1"/>
        <rFont val="Arial"/>
        <family val="2"/>
        <charset val="162"/>
      </rPr>
      <t>C)</t>
    </r>
  </si>
  <si>
    <r>
      <t>T</t>
    </r>
    <r>
      <rPr>
        <sz val="8"/>
        <color theme="1"/>
        <rFont val="Arial"/>
        <family val="2"/>
        <charset val="162"/>
      </rPr>
      <t xml:space="preserve">s </t>
    </r>
    <r>
      <rPr>
        <sz val="12"/>
        <color theme="1"/>
        <rFont val="Arial"/>
        <family val="2"/>
        <charset val="162"/>
      </rPr>
      <t>(</t>
    </r>
    <r>
      <rPr>
        <sz val="12"/>
        <color theme="1"/>
        <rFont val="Arial Tur"/>
        <charset val="162"/>
      </rPr>
      <t>°</t>
    </r>
    <r>
      <rPr>
        <sz val="12"/>
        <color theme="1"/>
        <rFont val="Arial"/>
        <family val="2"/>
        <charset val="162"/>
      </rPr>
      <t>C)</t>
    </r>
  </si>
  <si>
    <t>EŞANJÖR HESABI</t>
  </si>
  <si>
    <t>Doymuş Suyun Özellikleri</t>
  </si>
  <si>
    <t>Sıcaklık</t>
  </si>
  <si>
    <t>Yoğunluk</t>
  </si>
  <si>
    <t>Özgül ısı</t>
  </si>
  <si>
    <t>Isı iletim katsayısı</t>
  </si>
  <si>
    <t>Dinamik vizkoz</t>
  </si>
  <si>
    <t>Kinematik vizkoz</t>
  </si>
  <si>
    <t>Prandıl sayısı</t>
  </si>
  <si>
    <t>Buharlaşma entalpisi</t>
  </si>
  <si>
    <t>hfg</t>
  </si>
  <si>
    <t>cp(j/kg˚C</t>
  </si>
  <si>
    <t>Özellik</t>
  </si>
  <si>
    <t>Akışkanların Özellikleri</t>
  </si>
  <si>
    <t>KK</t>
  </si>
  <si>
    <t>Boru Cinsi</t>
  </si>
  <si>
    <t>Inç</t>
  </si>
  <si>
    <t>Et kal.</t>
  </si>
  <si>
    <t>(mm)</t>
  </si>
  <si>
    <t>Boru Boy/Adet</t>
  </si>
  <si>
    <t>Boy</t>
  </si>
  <si>
    <t>Adet</t>
  </si>
  <si>
    <t>L (m)</t>
  </si>
  <si>
    <t>(giriniz)</t>
  </si>
  <si>
    <t>HESAPLAMALAR</t>
  </si>
  <si>
    <t>Logaritmik Ortalama Sıc.Farkı</t>
  </si>
  <si>
    <t>∆Tm1</t>
  </si>
  <si>
    <t>∆Tm2</t>
  </si>
  <si>
    <t>∆Tm</t>
  </si>
  <si>
    <t>Soğuk Akışkanın Aldığı Isı</t>
  </si>
  <si>
    <t>Qo</t>
  </si>
  <si>
    <t>Isıtma Alanı Hesabı</t>
  </si>
  <si>
    <t>Ad</t>
  </si>
  <si>
    <t>Sıcak Akışkanın Aldığı Isı</t>
  </si>
  <si>
    <t>Qs</t>
  </si>
  <si>
    <t>Sıcak Akışkanın Debisi</t>
  </si>
  <si>
    <t>ms (kg/sn)</t>
  </si>
  <si>
    <t>Isı Transfer Sayısının Kontrolü</t>
  </si>
  <si>
    <t>Tahmini K Değeri</t>
  </si>
  <si>
    <t>(w/mK)</t>
  </si>
  <si>
    <t>Malzeme</t>
  </si>
  <si>
    <t xml:space="preserve">  λboru</t>
  </si>
  <si>
    <t>Kirlilik Faktörü</t>
  </si>
  <si>
    <t>R</t>
  </si>
  <si>
    <t>Kd</t>
  </si>
  <si>
    <t>Isı Transfer Katsayısı</t>
  </si>
  <si>
    <t xml:space="preserve">Ayna Çapı </t>
  </si>
  <si>
    <t>t</t>
  </si>
  <si>
    <t>h</t>
  </si>
  <si>
    <r>
      <t>Üçgen Alanı m</t>
    </r>
    <r>
      <rPr>
        <sz val="12"/>
        <color theme="1"/>
        <rFont val="Arial Tur"/>
        <charset val="162"/>
      </rPr>
      <t>²</t>
    </r>
  </si>
  <si>
    <t>Ayna Alanı</t>
  </si>
  <si>
    <t>Ayna Çapı (mm)</t>
  </si>
  <si>
    <t>Hidrolik Çap</t>
  </si>
  <si>
    <t>Toplam Boru Alanı</t>
  </si>
  <si>
    <t>Toplam Islak Çevre</t>
  </si>
  <si>
    <t>Hız, Reynold, Nusselt Sayıları</t>
  </si>
  <si>
    <t>Reynold</t>
  </si>
  <si>
    <t>Re&lt;2300 Laminer</t>
  </si>
  <si>
    <t>Re&gt;2300 Türbilans</t>
  </si>
  <si>
    <t>Nusselt</t>
  </si>
  <si>
    <t>α</t>
  </si>
  <si>
    <t>Hız     Uί(m/s)</t>
  </si>
  <si>
    <t>Hız     Ud(m/s)</t>
  </si>
  <si>
    <t>Soğuk Akışkan ( iç )</t>
  </si>
  <si>
    <t>Sıcak Akışkan ( dış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</si>
</sst>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sz val="12"/>
      <color theme="1"/>
      <name val="Arial Tur"/>
      <charset val="162"/>
    </font>
    <font>
      <sz val="12"/>
      <color rgb="FFC00000"/>
      <name val="Arial"/>
      <family val="2"/>
      <charset val="162"/>
    </font>
    <font>
      <b/>
      <sz val="20"/>
      <color theme="1"/>
      <name val="Arial"/>
      <family val="2"/>
      <charset val="162"/>
    </font>
    <font>
      <b/>
      <sz val="72"/>
      <color theme="1"/>
      <name val="Arial"/>
      <family val="2"/>
      <charset val="162"/>
    </font>
    <font>
      <b/>
      <sz val="48"/>
      <color theme="1"/>
      <name val="Arial"/>
      <family val="2"/>
      <charset val="162"/>
    </font>
    <font>
      <b/>
      <sz val="12"/>
      <name val="Arial"/>
      <family val="2"/>
      <charset val="162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theme="4"/>
      </patternFill>
    </fill>
    <fill>
      <patternFill patternType="solid">
        <fgColor rgb="FF7030A0"/>
        <bgColor theme="4" tint="0.59999389629810485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2" fontId="2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2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/>
    <xf numFmtId="0" fontId="1" fillId="0" borderId="5" xfId="0" applyFont="1" applyFill="1" applyBorder="1" applyAlignment="1">
      <alignment vertical="center"/>
    </xf>
    <xf numFmtId="0" fontId="0" fillId="0" borderId="0" xfId="0" applyAlignment="1"/>
    <xf numFmtId="0" fontId="1" fillId="4" borderId="1" xfId="0" applyFont="1" applyFill="1" applyBorder="1"/>
    <xf numFmtId="0" fontId="9" fillId="11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3" fillId="0" borderId="0" xfId="0" applyFont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2" fontId="1" fillId="9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0" xfId="0" applyFont="1" applyFill="1" applyBorder="1" applyAlignment="1">
      <alignment horizontal="center" vertical="center"/>
    </xf>
    <xf numFmtId="22" fontId="6" fillId="13" borderId="2" xfId="0" applyNumberFormat="1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28574</xdr:rowOff>
    </xdr:from>
    <xdr:to>
      <xdr:col>16</xdr:col>
      <xdr:colOff>590550</xdr:colOff>
      <xdr:row>13</xdr:row>
      <xdr:rowOff>47625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600074"/>
          <a:ext cx="5619750" cy="1943101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DışVeri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527"/>
  <sheetViews>
    <sheetView tabSelected="1" workbookViewId="0">
      <selection activeCell="N56" sqref="N56"/>
    </sheetView>
  </sheetViews>
  <sheetFormatPr defaultRowHeight="15" x14ac:dyDescent="0.25"/>
  <cols>
    <col min="1" max="1" width="6.5703125" bestFit="1" customWidth="1"/>
    <col min="2" max="2" width="10.140625" bestFit="1" customWidth="1"/>
    <col min="3" max="3" width="15.85546875" bestFit="1" customWidth="1"/>
    <col min="4" max="4" width="13.85546875" bestFit="1" customWidth="1"/>
    <col min="5" max="5" width="8.42578125" bestFit="1" customWidth="1"/>
    <col min="6" max="6" width="9" bestFit="1" customWidth="1"/>
    <col min="7" max="7" width="9.140625" bestFit="1" customWidth="1"/>
    <col min="8" max="8" width="15.28515625" customWidth="1"/>
    <col min="9" max="9" width="11" bestFit="1" customWidth="1"/>
    <col min="10" max="10" width="10.28515625" bestFit="1" customWidth="1"/>
    <col min="11" max="11" width="10.140625" bestFit="1" customWidth="1"/>
    <col min="12" max="12" width="15.5703125" bestFit="1" customWidth="1"/>
    <col min="13" max="13" width="10.42578125" bestFit="1" customWidth="1"/>
    <col min="14" max="14" width="10.140625" bestFit="1" customWidth="1"/>
    <col min="15" max="15" width="9.7109375" bestFit="1" customWidth="1"/>
  </cols>
  <sheetData>
    <row r="1" spans="1:147" ht="15" customHeight="1" x14ac:dyDescent="0.25">
      <c r="A1" s="48" t="s">
        <v>37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</row>
    <row r="2" spans="1:147" ht="1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</row>
    <row r="3" spans="1:147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</row>
    <row r="4" spans="1:147" ht="15.75" x14ac:dyDescent="0.25">
      <c r="A4" s="49" t="s">
        <v>38</v>
      </c>
      <c r="B4" s="49"/>
      <c r="C4" s="49"/>
      <c r="D4" s="49"/>
      <c r="E4" s="49"/>
      <c r="F4" s="49"/>
      <c r="G4" s="49"/>
      <c r="H4" s="49"/>
      <c r="I4" s="1"/>
      <c r="J4" s="51"/>
      <c r="K4" s="51"/>
      <c r="L4" s="51"/>
      <c r="M4" s="51"/>
      <c r="N4" s="51"/>
      <c r="O4" s="51"/>
      <c r="P4" s="51"/>
      <c r="Q4" s="5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</row>
    <row r="5" spans="1:147" ht="15.75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1"/>
      <c r="J5" s="51"/>
      <c r="K5" s="51"/>
      <c r="L5" s="51"/>
      <c r="M5" s="51"/>
      <c r="N5" s="51"/>
      <c r="O5" s="51"/>
      <c r="P5" s="51"/>
      <c r="Q5" s="5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</row>
    <row r="6" spans="1:147" x14ac:dyDescent="0.25">
      <c r="A6" s="3">
        <v>0.01</v>
      </c>
      <c r="B6" s="2">
        <v>999.8</v>
      </c>
      <c r="C6" s="2">
        <v>4217</v>
      </c>
      <c r="D6" s="2">
        <v>0.56100000000000005</v>
      </c>
      <c r="E6" s="2">
        <v>1.792</v>
      </c>
      <c r="F6" s="2">
        <v>1.7949999999999999</v>
      </c>
      <c r="G6" s="2">
        <v>13.5</v>
      </c>
      <c r="H6" s="2">
        <v>2501</v>
      </c>
      <c r="I6" s="1"/>
      <c r="J6" s="51"/>
      <c r="K6" s="51"/>
      <c r="L6" s="51"/>
      <c r="M6" s="51"/>
      <c r="N6" s="51"/>
      <c r="O6" s="51"/>
      <c r="P6" s="51"/>
      <c r="Q6" s="5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</row>
    <row r="7" spans="1:147" x14ac:dyDescent="0.25">
      <c r="A7" s="3">
        <v>5</v>
      </c>
      <c r="B7" s="2">
        <v>999.9</v>
      </c>
      <c r="C7" s="2">
        <v>4205</v>
      </c>
      <c r="D7" s="2">
        <v>0.57099999999999995</v>
      </c>
      <c r="E7" s="2">
        <v>1.5189999999999999</v>
      </c>
      <c r="F7" s="2">
        <v>1.506</v>
      </c>
      <c r="G7" s="2">
        <v>11.2</v>
      </c>
      <c r="H7" s="2">
        <v>2490</v>
      </c>
      <c r="I7" s="1"/>
      <c r="J7" s="51"/>
      <c r="K7" s="51"/>
      <c r="L7" s="51"/>
      <c r="M7" s="51"/>
      <c r="N7" s="51"/>
      <c r="O7" s="51"/>
      <c r="P7" s="51"/>
      <c r="Q7" s="5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</row>
    <row r="8" spans="1:147" x14ac:dyDescent="0.25">
      <c r="A8" s="3">
        <v>10</v>
      </c>
      <c r="B8" s="2">
        <v>999.7</v>
      </c>
      <c r="C8" s="2">
        <v>4194</v>
      </c>
      <c r="D8" s="2">
        <v>0.57999999999999996</v>
      </c>
      <c r="E8" s="2">
        <v>1.3069999999999999</v>
      </c>
      <c r="F8" s="2">
        <v>1.3069999999999999</v>
      </c>
      <c r="G8" s="2">
        <v>9.4499999999999993</v>
      </c>
      <c r="H8" s="2">
        <v>2478</v>
      </c>
      <c r="I8" s="1"/>
      <c r="J8" s="51"/>
      <c r="K8" s="51"/>
      <c r="L8" s="51"/>
      <c r="M8" s="51"/>
      <c r="N8" s="51"/>
      <c r="O8" s="51"/>
      <c r="P8" s="51"/>
      <c r="Q8" s="5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</row>
    <row r="9" spans="1:147" x14ac:dyDescent="0.25">
      <c r="A9" s="3">
        <v>20</v>
      </c>
      <c r="B9" s="2">
        <v>998</v>
      </c>
      <c r="C9" s="2">
        <v>4182</v>
      </c>
      <c r="D9" s="2">
        <v>0.59799999999999998</v>
      </c>
      <c r="E9" s="2">
        <v>1.002</v>
      </c>
      <c r="F9" s="2">
        <v>1.004</v>
      </c>
      <c r="G9" s="2">
        <v>7.01</v>
      </c>
      <c r="H9" s="2">
        <v>2454</v>
      </c>
      <c r="I9" s="1"/>
      <c r="J9" s="51"/>
      <c r="K9" s="51"/>
      <c r="L9" s="51"/>
      <c r="M9" s="51"/>
      <c r="N9" s="51"/>
      <c r="O9" s="51"/>
      <c r="P9" s="51"/>
      <c r="Q9" s="5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</row>
    <row r="10" spans="1:147" x14ac:dyDescent="0.25">
      <c r="A10" s="3">
        <v>30</v>
      </c>
      <c r="B10" s="2">
        <v>996</v>
      </c>
      <c r="C10" s="2">
        <v>4178</v>
      </c>
      <c r="D10" s="2">
        <v>0.61499999999999999</v>
      </c>
      <c r="E10" s="2">
        <v>0.79800000000000004</v>
      </c>
      <c r="F10" s="2">
        <v>0.80100000000000005</v>
      </c>
      <c r="G10" s="2">
        <v>5.42</v>
      </c>
      <c r="H10" s="2">
        <v>2431</v>
      </c>
      <c r="I10" s="1"/>
      <c r="J10" s="51"/>
      <c r="K10" s="51"/>
      <c r="L10" s="51"/>
      <c r="M10" s="51"/>
      <c r="N10" s="51"/>
      <c r="O10" s="51"/>
      <c r="P10" s="51"/>
      <c r="Q10" s="5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</row>
    <row r="11" spans="1:147" x14ac:dyDescent="0.25">
      <c r="A11" s="3">
        <v>40</v>
      </c>
      <c r="B11" s="2">
        <v>992.1</v>
      </c>
      <c r="C11" s="2">
        <v>4179</v>
      </c>
      <c r="D11" s="2">
        <v>0.63100000000000001</v>
      </c>
      <c r="E11" s="2">
        <v>0.65300000000000002</v>
      </c>
      <c r="F11" s="2">
        <v>0.65800000000000003</v>
      </c>
      <c r="G11" s="2">
        <v>4.32</v>
      </c>
      <c r="H11" s="2">
        <v>2407</v>
      </c>
      <c r="I11" s="1"/>
      <c r="J11" s="51"/>
      <c r="K11" s="51"/>
      <c r="L11" s="51"/>
      <c r="M11" s="51"/>
      <c r="N11" s="51"/>
      <c r="O11" s="51"/>
      <c r="P11" s="51"/>
      <c r="Q11" s="5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</row>
    <row r="12" spans="1:147" x14ac:dyDescent="0.25">
      <c r="A12" s="3">
        <v>50</v>
      </c>
      <c r="B12" s="2">
        <v>988.1</v>
      </c>
      <c r="C12" s="2">
        <v>4181</v>
      </c>
      <c r="D12" s="2">
        <v>0.64400000000000002</v>
      </c>
      <c r="E12" s="2">
        <v>0.54700000000000004</v>
      </c>
      <c r="F12" s="2">
        <v>0.55400000000000005</v>
      </c>
      <c r="G12" s="2">
        <v>3.55</v>
      </c>
      <c r="H12" s="2">
        <v>2383</v>
      </c>
      <c r="I12" s="1"/>
      <c r="J12" s="51"/>
      <c r="K12" s="51"/>
      <c r="L12" s="51"/>
      <c r="M12" s="51"/>
      <c r="N12" s="51"/>
      <c r="O12" s="51"/>
      <c r="P12" s="51"/>
      <c r="Q12" s="5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</row>
    <row r="13" spans="1:147" x14ac:dyDescent="0.25">
      <c r="A13" s="3">
        <v>60</v>
      </c>
      <c r="B13" s="2">
        <v>983.3</v>
      </c>
      <c r="C13" s="2">
        <v>4185</v>
      </c>
      <c r="D13" s="2">
        <v>0.65400000000000003</v>
      </c>
      <c r="E13" s="2">
        <v>0.46700000000000003</v>
      </c>
      <c r="F13" s="2">
        <v>0.47499999999999998</v>
      </c>
      <c r="G13" s="2">
        <v>2.99</v>
      </c>
      <c r="H13" s="2">
        <v>2359</v>
      </c>
      <c r="I13" s="1"/>
      <c r="J13" s="51"/>
      <c r="K13" s="51"/>
      <c r="L13" s="51"/>
      <c r="M13" s="51"/>
      <c r="N13" s="51"/>
      <c r="O13" s="51"/>
      <c r="P13" s="51"/>
      <c r="Q13" s="5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</row>
    <row r="14" spans="1:147" x14ac:dyDescent="0.25">
      <c r="A14" s="3">
        <v>70</v>
      </c>
      <c r="B14" s="2">
        <v>977.5</v>
      </c>
      <c r="C14" s="2">
        <v>4190</v>
      </c>
      <c r="D14" s="2">
        <v>0.66300000000000003</v>
      </c>
      <c r="E14" s="2">
        <v>0.40400000000000003</v>
      </c>
      <c r="F14" s="2">
        <v>0.41299999999999998</v>
      </c>
      <c r="G14" s="2">
        <v>2.5499999999999998</v>
      </c>
      <c r="H14" s="2">
        <v>2334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</row>
    <row r="15" spans="1:147" ht="15" customHeight="1" x14ac:dyDescent="0.25">
      <c r="A15" s="3">
        <v>80</v>
      </c>
      <c r="B15" s="2">
        <v>971.8</v>
      </c>
      <c r="C15" s="2">
        <v>4197</v>
      </c>
      <c r="D15" s="2">
        <v>0.67</v>
      </c>
      <c r="E15" s="2">
        <v>0.35499999999999998</v>
      </c>
      <c r="F15" s="2">
        <v>0.36499999999999999</v>
      </c>
      <c r="G15" s="2">
        <v>2.2200000000000002</v>
      </c>
      <c r="H15" s="2">
        <v>2309</v>
      </c>
      <c r="I15" s="1"/>
      <c r="J15" s="49" t="s">
        <v>19</v>
      </c>
      <c r="K15" s="49"/>
      <c r="L15" s="49"/>
      <c r="M15" s="49"/>
      <c r="N15" s="49"/>
      <c r="O15" s="49"/>
      <c r="P15" s="4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</row>
    <row r="16" spans="1:147" ht="15" customHeight="1" x14ac:dyDescent="0.25">
      <c r="A16" s="3">
        <v>90</v>
      </c>
      <c r="B16" s="2">
        <v>965.3</v>
      </c>
      <c r="C16" s="2">
        <v>4206</v>
      </c>
      <c r="D16" s="2">
        <v>0.67500000000000004</v>
      </c>
      <c r="E16" s="2">
        <v>0.315</v>
      </c>
      <c r="F16" s="2">
        <v>0.32600000000000001</v>
      </c>
      <c r="G16" s="2">
        <v>1.96</v>
      </c>
      <c r="H16" s="2">
        <v>2283</v>
      </c>
      <c r="I16" s="1"/>
      <c r="J16" s="49"/>
      <c r="K16" s="49"/>
      <c r="L16" s="49"/>
      <c r="M16" s="49"/>
      <c r="N16" s="49"/>
      <c r="O16" s="49"/>
      <c r="P16" s="4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</row>
    <row r="17" spans="1:147" ht="15.75" x14ac:dyDescent="0.25">
      <c r="A17" s="3">
        <v>100</v>
      </c>
      <c r="B17" s="2">
        <v>957.9</v>
      </c>
      <c r="C17" s="2">
        <v>4217</v>
      </c>
      <c r="D17" s="2">
        <v>0.67900000000000005</v>
      </c>
      <c r="E17" s="2">
        <v>0.28199999999999997</v>
      </c>
      <c r="F17" s="2">
        <v>0.29499999999999998</v>
      </c>
      <c r="G17" s="2">
        <v>1.75</v>
      </c>
      <c r="H17" s="2">
        <v>2257</v>
      </c>
      <c r="I17" s="1"/>
      <c r="J17" s="52" t="s">
        <v>23</v>
      </c>
      <c r="K17" s="52"/>
      <c r="L17" s="52"/>
      <c r="M17" s="38" t="s">
        <v>30</v>
      </c>
      <c r="N17" s="38"/>
      <c r="O17" s="38"/>
      <c r="P17" s="38"/>
      <c r="Q17" s="12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</row>
    <row r="18" spans="1:147" x14ac:dyDescent="0.25">
      <c r="A18" s="3">
        <v>110</v>
      </c>
      <c r="B18" s="2">
        <v>950.6</v>
      </c>
      <c r="C18" s="2">
        <v>4229</v>
      </c>
      <c r="D18" s="2">
        <v>0.68200000000000005</v>
      </c>
      <c r="E18" s="2">
        <v>0.255</v>
      </c>
      <c r="F18" s="2">
        <v>0.27100000000000002</v>
      </c>
      <c r="G18" s="2">
        <v>1.58</v>
      </c>
      <c r="H18" s="2">
        <v>2230</v>
      </c>
      <c r="I18" s="1"/>
      <c r="J18" s="3" t="s">
        <v>20</v>
      </c>
      <c r="K18" s="3" t="s">
        <v>26</v>
      </c>
      <c r="L18" s="10">
        <v>15</v>
      </c>
      <c r="M18" s="3" t="s">
        <v>20</v>
      </c>
      <c r="N18" s="3" t="s">
        <v>28</v>
      </c>
      <c r="O18" s="10">
        <v>100</v>
      </c>
      <c r="P18" s="15" t="s">
        <v>32</v>
      </c>
      <c r="Q18" s="14" t="s">
        <v>33</v>
      </c>
      <c r="R18" s="13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</row>
    <row r="19" spans="1:147" x14ac:dyDescent="0.25">
      <c r="A19" s="3">
        <v>120</v>
      </c>
      <c r="B19" s="2">
        <v>943.3</v>
      </c>
      <c r="C19" s="2">
        <v>4244</v>
      </c>
      <c r="D19" s="2">
        <v>0.68300000000000005</v>
      </c>
      <c r="E19" s="2">
        <v>0.23200000000000001</v>
      </c>
      <c r="F19" s="2">
        <v>0.2485</v>
      </c>
      <c r="G19" s="2">
        <v>1.44</v>
      </c>
      <c r="H19" s="2">
        <v>2203</v>
      </c>
      <c r="I19" s="1"/>
      <c r="J19" s="3" t="s">
        <v>21</v>
      </c>
      <c r="K19" s="3" t="s">
        <v>27</v>
      </c>
      <c r="L19" s="10">
        <v>65</v>
      </c>
      <c r="M19" s="3" t="s">
        <v>21</v>
      </c>
      <c r="N19" s="3" t="s">
        <v>29</v>
      </c>
      <c r="O19" s="10">
        <v>80</v>
      </c>
      <c r="P19" s="1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</row>
    <row r="20" spans="1:147" x14ac:dyDescent="0.25">
      <c r="A20" s="3">
        <v>130</v>
      </c>
      <c r="B20" s="2">
        <v>934.6</v>
      </c>
      <c r="C20" s="2">
        <v>4263</v>
      </c>
      <c r="D20" s="2">
        <v>0.68400000000000005</v>
      </c>
      <c r="E20" s="2">
        <v>0.21299999999999999</v>
      </c>
      <c r="F20" s="2">
        <v>0.2104</v>
      </c>
      <c r="G20" s="2">
        <v>1.33</v>
      </c>
      <c r="H20" s="2">
        <v>2174</v>
      </c>
      <c r="I20" s="1"/>
      <c r="J20" s="3" t="s">
        <v>22</v>
      </c>
      <c r="K20" s="3" t="s">
        <v>24</v>
      </c>
      <c r="L20" s="10">
        <v>3000</v>
      </c>
      <c r="M20" s="3" t="s">
        <v>22</v>
      </c>
      <c r="N20" s="3" t="s">
        <v>24</v>
      </c>
      <c r="O20" s="10"/>
      <c r="P20" s="11" t="s">
        <v>31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</row>
    <row r="21" spans="1:147" x14ac:dyDescent="0.25">
      <c r="A21" s="1"/>
      <c r="B21" s="1"/>
      <c r="C21" s="1"/>
      <c r="D21" s="1"/>
      <c r="E21" s="1"/>
      <c r="F21" s="1"/>
      <c r="G21" s="1"/>
      <c r="H21" s="1"/>
      <c r="I21" s="1"/>
      <c r="J21" s="3" t="s">
        <v>22</v>
      </c>
      <c r="K21" s="3" t="s">
        <v>25</v>
      </c>
      <c r="L21" s="10">
        <f>L20/3600</f>
        <v>0.83333333333333337</v>
      </c>
      <c r="M21" s="3" t="s">
        <v>22</v>
      </c>
      <c r="N21" s="3" t="s">
        <v>25</v>
      </c>
      <c r="O21" s="10"/>
      <c r="P21" s="11" t="s">
        <v>32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</row>
    <row r="22" spans="1:147" ht="15" customHeight="1" x14ac:dyDescent="0.25">
      <c r="A22" s="50" t="s">
        <v>18</v>
      </c>
      <c r="B22" s="50"/>
      <c r="C22" s="50"/>
      <c r="D22" s="50"/>
      <c r="E22" s="50"/>
      <c r="F22" s="54" t="s">
        <v>51</v>
      </c>
      <c r="G22" s="55"/>
      <c r="H22" s="55"/>
      <c r="I22" s="55"/>
      <c r="J22" s="3" t="s">
        <v>34</v>
      </c>
      <c r="K22" s="3" t="s">
        <v>35</v>
      </c>
      <c r="L22" s="10">
        <f>(L18+L19)/2</f>
        <v>40</v>
      </c>
      <c r="M22" s="3" t="s">
        <v>34</v>
      </c>
      <c r="N22" s="3" t="s">
        <v>36</v>
      </c>
      <c r="O22" s="10">
        <f>(O18+O19)/2</f>
        <v>90</v>
      </c>
      <c r="P22" s="11" t="s">
        <v>32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</row>
    <row r="23" spans="1:147" ht="15" customHeight="1" x14ac:dyDescent="0.25">
      <c r="A23" s="50"/>
      <c r="B23" s="50"/>
      <c r="C23" s="50"/>
      <c r="D23" s="50"/>
      <c r="E23" s="50"/>
      <c r="F23" s="54"/>
      <c r="G23" s="55"/>
      <c r="H23" s="55"/>
      <c r="I23" s="5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</row>
    <row r="24" spans="1:147" ht="15.75" customHeight="1" x14ac:dyDescent="0.25">
      <c r="A24" s="41" t="s">
        <v>8</v>
      </c>
      <c r="B24" s="41"/>
      <c r="C24" s="5" t="s">
        <v>9</v>
      </c>
      <c r="D24" s="4" t="s">
        <v>10</v>
      </c>
      <c r="E24" s="5" t="s">
        <v>11</v>
      </c>
      <c r="F24" s="54"/>
      <c r="G24" s="55"/>
      <c r="H24" s="55"/>
      <c r="I24" s="55"/>
      <c r="J24" s="41" t="s">
        <v>23</v>
      </c>
      <c r="K24" s="41"/>
      <c r="L24" s="41"/>
      <c r="M24" s="41"/>
      <c r="N24" s="41"/>
      <c r="O24" s="41"/>
      <c r="P24" s="41"/>
      <c r="Q24" s="2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</row>
    <row r="25" spans="1:147" ht="15.75" customHeight="1" x14ac:dyDescent="0.25">
      <c r="A25" s="4" t="s">
        <v>12</v>
      </c>
      <c r="B25" s="6" t="s">
        <v>13</v>
      </c>
      <c r="C25" s="4" t="s">
        <v>14</v>
      </c>
      <c r="D25" s="4" t="s">
        <v>15</v>
      </c>
      <c r="E25" s="4" t="s">
        <v>16</v>
      </c>
      <c r="F25" s="54"/>
      <c r="G25" s="55"/>
      <c r="H25" s="55"/>
      <c r="I25" s="55"/>
      <c r="J25" s="31" t="s">
        <v>0</v>
      </c>
      <c r="K25" s="22" t="s">
        <v>1</v>
      </c>
      <c r="L25" s="22" t="s">
        <v>2</v>
      </c>
      <c r="M25" s="22" t="s">
        <v>3</v>
      </c>
      <c r="N25" s="22" t="s">
        <v>4</v>
      </c>
      <c r="O25" s="22" t="s">
        <v>5</v>
      </c>
      <c r="P25" s="22" t="s">
        <v>6</v>
      </c>
      <c r="Q25" s="2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</row>
    <row r="26" spans="1:147" ht="15.75" customHeight="1" x14ac:dyDescent="0.25">
      <c r="A26" s="7" t="s">
        <v>17</v>
      </c>
      <c r="B26" s="8">
        <v>0.125</v>
      </c>
      <c r="C26" s="7">
        <v>10.199999999999999</v>
      </c>
      <c r="D26" s="7">
        <v>1.6</v>
      </c>
      <c r="E26" s="7">
        <f>C26-2*D26</f>
        <v>6.9999999999999991</v>
      </c>
      <c r="F26" s="54"/>
      <c r="G26" s="55"/>
      <c r="H26" s="55"/>
      <c r="I26" s="55"/>
      <c r="J26" s="21">
        <f>J35</f>
        <v>40</v>
      </c>
      <c r="K26" s="21">
        <f>J36</f>
        <v>992.1</v>
      </c>
      <c r="L26" s="21">
        <f>J37</f>
        <v>4179</v>
      </c>
      <c r="M26" s="21">
        <f>J38</f>
        <v>0.63100000000000001</v>
      </c>
      <c r="N26" s="21">
        <f>J39</f>
        <v>0.65300000000000002</v>
      </c>
      <c r="O26" s="21">
        <f>J40</f>
        <v>0.65800000000000003</v>
      </c>
      <c r="P26" s="21">
        <f>J41</f>
        <v>4.32</v>
      </c>
      <c r="Q26" s="2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</row>
    <row r="27" spans="1:147" ht="15.75" customHeight="1" x14ac:dyDescent="0.25">
      <c r="A27" s="7" t="s">
        <v>17</v>
      </c>
      <c r="B27" s="8">
        <v>0.25</v>
      </c>
      <c r="C27" s="7">
        <v>13.5</v>
      </c>
      <c r="D27" s="7">
        <v>1.8</v>
      </c>
      <c r="E27" s="7">
        <f>C27-2*D27</f>
        <v>9.9</v>
      </c>
      <c r="F27" s="56">
        <f ca="1">NOW()</f>
        <v>42553.460042129627</v>
      </c>
      <c r="G27" s="57"/>
      <c r="H27" s="57"/>
      <c r="I27" s="57"/>
      <c r="J27" s="23"/>
      <c r="K27" s="23"/>
      <c r="L27" s="23"/>
      <c r="M27" s="23"/>
      <c r="N27" s="23"/>
      <c r="O27" s="23"/>
      <c r="P27" s="23"/>
      <c r="Q27" s="2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</row>
    <row r="28" spans="1:147" ht="15.75" customHeight="1" x14ac:dyDescent="0.25">
      <c r="A28" s="7">
        <v>10</v>
      </c>
      <c r="B28" s="8">
        <v>0.375</v>
      </c>
      <c r="C28" s="7">
        <v>17.2</v>
      </c>
      <c r="D28" s="7">
        <v>1.8</v>
      </c>
      <c r="E28" s="7">
        <f t="shared" ref="E28:E50" si="0">C28-2*D28</f>
        <v>13.6</v>
      </c>
      <c r="F28" s="58"/>
      <c r="G28" s="57"/>
      <c r="H28" s="57"/>
      <c r="I28" s="57"/>
      <c r="J28" s="41" t="s">
        <v>30</v>
      </c>
      <c r="K28" s="41"/>
      <c r="L28" s="41"/>
      <c r="M28" s="41"/>
      <c r="N28" s="41"/>
      <c r="O28" s="41"/>
      <c r="P28" s="41"/>
      <c r="Q28" s="4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</row>
    <row r="29" spans="1:147" ht="15.75" customHeight="1" x14ac:dyDescent="0.25">
      <c r="A29" s="7">
        <v>15</v>
      </c>
      <c r="B29" s="8">
        <v>0.5</v>
      </c>
      <c r="C29" s="7">
        <v>21.3</v>
      </c>
      <c r="D29" s="7">
        <v>2</v>
      </c>
      <c r="E29" s="7">
        <f t="shared" si="0"/>
        <v>17.3</v>
      </c>
      <c r="F29" s="58"/>
      <c r="G29" s="57"/>
      <c r="H29" s="57"/>
      <c r="I29" s="57"/>
      <c r="J29" s="31" t="s">
        <v>0</v>
      </c>
      <c r="K29" s="22" t="s">
        <v>1</v>
      </c>
      <c r="L29" s="22" t="s">
        <v>2</v>
      </c>
      <c r="M29" s="22" t="s">
        <v>3</v>
      </c>
      <c r="N29" s="22" t="s">
        <v>4</v>
      </c>
      <c r="O29" s="22" t="s">
        <v>5</v>
      </c>
      <c r="P29" s="22" t="s">
        <v>6</v>
      </c>
      <c r="Q29" s="22" t="s">
        <v>47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</row>
    <row r="30" spans="1:147" ht="15.75" customHeight="1" x14ac:dyDescent="0.25">
      <c r="A30" s="7">
        <v>20</v>
      </c>
      <c r="B30" s="8">
        <v>0.75</v>
      </c>
      <c r="C30" s="7">
        <v>26.9</v>
      </c>
      <c r="D30" s="7">
        <v>2.2999999999999998</v>
      </c>
      <c r="E30" s="7">
        <f t="shared" si="0"/>
        <v>22.299999999999997</v>
      </c>
      <c r="F30" s="58"/>
      <c r="G30" s="57"/>
      <c r="H30" s="57"/>
      <c r="I30" s="57"/>
      <c r="J30" s="21">
        <f>L35</f>
        <v>90</v>
      </c>
      <c r="K30" s="21">
        <f>L36</f>
        <v>965.3</v>
      </c>
      <c r="L30" s="21">
        <f>L37</f>
        <v>4206</v>
      </c>
      <c r="M30" s="21">
        <f>L38</f>
        <v>0.67500000000000004</v>
      </c>
      <c r="N30" s="21">
        <f>L39</f>
        <v>0.315</v>
      </c>
      <c r="O30" s="21">
        <f>L40</f>
        <v>0.32600000000000001</v>
      </c>
      <c r="P30" s="21">
        <f>L41</f>
        <v>1.96</v>
      </c>
      <c r="Q30" s="21">
        <f>IF(P18=P22,L42,0)</f>
        <v>2283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</row>
    <row r="31" spans="1:147" x14ac:dyDescent="0.25">
      <c r="A31" s="7">
        <v>25</v>
      </c>
      <c r="B31" s="8">
        <v>1</v>
      </c>
      <c r="C31" s="7">
        <v>33.700000000000003</v>
      </c>
      <c r="D31" s="7">
        <v>2.6</v>
      </c>
      <c r="E31" s="7">
        <f t="shared" si="0"/>
        <v>28.500000000000004</v>
      </c>
      <c r="F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</row>
    <row r="32" spans="1:147" x14ac:dyDescent="0.25">
      <c r="A32" s="7">
        <v>32</v>
      </c>
      <c r="B32" s="8">
        <v>1.25</v>
      </c>
      <c r="C32" s="7">
        <v>42.4</v>
      </c>
      <c r="D32" s="7">
        <v>2.6</v>
      </c>
      <c r="E32" s="7">
        <f t="shared" si="0"/>
        <v>37.199999999999996</v>
      </c>
      <c r="F32" s="1"/>
      <c r="G32" s="47" t="s">
        <v>50</v>
      </c>
      <c r="H32" s="47"/>
      <c r="I32" s="47"/>
      <c r="J32" s="47"/>
      <c r="K32" s="47"/>
      <c r="L32" s="47"/>
      <c r="M32" s="47"/>
      <c r="N32" s="1"/>
      <c r="O32" s="42" t="s">
        <v>52</v>
      </c>
      <c r="P32" s="42"/>
      <c r="Q32" s="42"/>
      <c r="R32" s="42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</row>
    <row r="33" spans="1:147" x14ac:dyDescent="0.25">
      <c r="A33" s="7">
        <v>40</v>
      </c>
      <c r="B33" s="8">
        <v>1.5</v>
      </c>
      <c r="C33" s="7">
        <v>48.3</v>
      </c>
      <c r="D33" s="7">
        <v>2.6</v>
      </c>
      <c r="E33" s="7">
        <f t="shared" si="0"/>
        <v>43.099999999999994</v>
      </c>
      <c r="F33" s="1"/>
      <c r="G33" s="47"/>
      <c r="H33" s="47"/>
      <c r="I33" s="47"/>
      <c r="J33" s="47"/>
      <c r="K33" s="47"/>
      <c r="L33" s="47"/>
      <c r="M33" s="47"/>
      <c r="N33" s="1"/>
      <c r="O33" s="42"/>
      <c r="P33" s="42"/>
      <c r="Q33" s="42"/>
      <c r="R33" s="42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</row>
    <row r="34" spans="1:147" x14ac:dyDescent="0.25">
      <c r="A34" s="7">
        <v>50</v>
      </c>
      <c r="B34" s="8">
        <v>2</v>
      </c>
      <c r="C34" s="7">
        <v>60.3</v>
      </c>
      <c r="D34" s="7">
        <v>2.9</v>
      </c>
      <c r="E34" s="7">
        <f t="shared" si="0"/>
        <v>54.5</v>
      </c>
      <c r="F34" s="1"/>
      <c r="G34" s="38" t="s">
        <v>49</v>
      </c>
      <c r="H34" s="38"/>
      <c r="I34" s="38"/>
      <c r="J34" s="38" t="s">
        <v>23</v>
      </c>
      <c r="K34" s="38"/>
      <c r="L34" s="38" t="s">
        <v>30</v>
      </c>
      <c r="M34" s="38"/>
      <c r="N34" s="1"/>
      <c r="O34" s="9" t="s">
        <v>53</v>
      </c>
      <c r="P34" s="9" t="s">
        <v>9</v>
      </c>
      <c r="Q34" s="9" t="s">
        <v>54</v>
      </c>
      <c r="R34" s="9" t="s">
        <v>11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</row>
    <row r="35" spans="1:147" ht="15.75" x14ac:dyDescent="0.25">
      <c r="A35" s="7">
        <v>65</v>
      </c>
      <c r="B35" s="8">
        <v>2.5</v>
      </c>
      <c r="C35" s="7">
        <v>76</v>
      </c>
      <c r="D35" s="7">
        <v>2.9</v>
      </c>
      <c r="E35" s="7">
        <f t="shared" si="0"/>
        <v>70.2</v>
      </c>
      <c r="F35" s="1"/>
      <c r="G35" s="45" t="s">
        <v>39</v>
      </c>
      <c r="H35" s="45"/>
      <c r="I35" s="16" t="s">
        <v>0</v>
      </c>
      <c r="J35" s="46">
        <f>VLOOKUP(L22,A6:H20,1)</f>
        <v>40</v>
      </c>
      <c r="K35" s="46"/>
      <c r="L35" s="46">
        <f>VLOOKUP(O22,A6:H20,1)</f>
        <v>90</v>
      </c>
      <c r="M35" s="46"/>
      <c r="N35" s="1"/>
      <c r="O35" s="43">
        <v>0.125</v>
      </c>
      <c r="P35" s="9" t="s">
        <v>55</v>
      </c>
      <c r="Q35" s="9" t="s">
        <v>55</v>
      </c>
      <c r="R35" s="9" t="s">
        <v>55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</row>
    <row r="36" spans="1:147" ht="15.75" x14ac:dyDescent="0.25">
      <c r="A36" s="7">
        <v>80</v>
      </c>
      <c r="B36" s="8">
        <v>3</v>
      </c>
      <c r="C36" s="7">
        <v>88.9</v>
      </c>
      <c r="D36" s="7">
        <v>3.2</v>
      </c>
      <c r="E36" s="7">
        <f>C36-2*D36</f>
        <v>82.5</v>
      </c>
      <c r="F36" s="1"/>
      <c r="G36" s="45" t="s">
        <v>40</v>
      </c>
      <c r="H36" s="45"/>
      <c r="I36" s="16" t="s">
        <v>1</v>
      </c>
      <c r="J36" s="46">
        <f>VLOOKUP(L22,A6:H20,2)</f>
        <v>992.1</v>
      </c>
      <c r="K36" s="46"/>
      <c r="L36" s="46">
        <f>VLOOKUP(O22,A6:H20,2)</f>
        <v>965.3</v>
      </c>
      <c r="M36" s="46"/>
      <c r="N36" s="1"/>
      <c r="O36" s="44"/>
      <c r="P36" s="18">
        <f>VLOOKUP(O35,B26:E50,2)</f>
        <v>10.199999999999999</v>
      </c>
      <c r="Q36" s="18">
        <f>VLOOKUP(O35,B26:E50,3)</f>
        <v>1.6</v>
      </c>
      <c r="R36" s="18">
        <f>VLOOKUP(O35,B26:E50,4)</f>
        <v>6.9999999999999991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</row>
    <row r="37" spans="1:147" ht="15.75" x14ac:dyDescent="0.25">
      <c r="A37" s="7">
        <v>90</v>
      </c>
      <c r="B37" s="8">
        <v>3.5</v>
      </c>
      <c r="C37" s="7">
        <v>102</v>
      </c>
      <c r="D37" s="7">
        <v>3.6</v>
      </c>
      <c r="E37" s="7">
        <f t="shared" si="0"/>
        <v>94.8</v>
      </c>
      <c r="F37" s="1"/>
      <c r="G37" s="45" t="s">
        <v>41</v>
      </c>
      <c r="H37" s="45"/>
      <c r="I37" s="16" t="s">
        <v>48</v>
      </c>
      <c r="J37" s="46">
        <f>VLOOKUP(L22,A6:H20,3)</f>
        <v>4179</v>
      </c>
      <c r="K37" s="46"/>
      <c r="L37" s="46">
        <f>VLOOKUP(O22,A6:H20,3)</f>
        <v>4206</v>
      </c>
      <c r="M37" s="4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</row>
    <row r="38" spans="1:147" ht="15.75" x14ac:dyDescent="0.25">
      <c r="A38" s="7">
        <v>100</v>
      </c>
      <c r="B38" s="8">
        <v>4</v>
      </c>
      <c r="C38" s="7">
        <v>114</v>
      </c>
      <c r="D38" s="7">
        <v>3.6</v>
      </c>
      <c r="E38" s="7">
        <f t="shared" si="0"/>
        <v>106.8</v>
      </c>
      <c r="F38" s="1"/>
      <c r="G38" s="45" t="s">
        <v>42</v>
      </c>
      <c r="H38" s="45"/>
      <c r="I38" s="16" t="s">
        <v>3</v>
      </c>
      <c r="J38" s="46">
        <f>VLOOKUP(L22,A6:H20,4)</f>
        <v>0.63100000000000001</v>
      </c>
      <c r="K38" s="46"/>
      <c r="L38" s="46">
        <f>VLOOKUP(O22,A6:H20,4)</f>
        <v>0.67500000000000004</v>
      </c>
      <c r="M38" s="46"/>
      <c r="N38" s="1"/>
      <c r="O38" s="53" t="s">
        <v>56</v>
      </c>
      <c r="P38" s="53"/>
      <c r="Q38" s="53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</row>
    <row r="39" spans="1:147" ht="15.75" x14ac:dyDescent="0.25">
      <c r="A39" s="7">
        <v>125</v>
      </c>
      <c r="B39" s="8">
        <v>5</v>
      </c>
      <c r="C39" s="7">
        <v>140</v>
      </c>
      <c r="D39" s="7">
        <v>4</v>
      </c>
      <c r="E39" s="7">
        <f t="shared" si="0"/>
        <v>132</v>
      </c>
      <c r="F39" s="1"/>
      <c r="G39" s="45" t="s">
        <v>43</v>
      </c>
      <c r="H39" s="45"/>
      <c r="I39" s="16" t="s">
        <v>4</v>
      </c>
      <c r="J39" s="46">
        <f>VLOOKUP(L22,A6:H20,5)</f>
        <v>0.65300000000000002</v>
      </c>
      <c r="K39" s="46"/>
      <c r="L39" s="46">
        <f>VLOOKUP(O22,A6:H20,5)</f>
        <v>0.315</v>
      </c>
      <c r="M39" s="46"/>
      <c r="N39" s="1"/>
      <c r="O39" s="53"/>
      <c r="P39" s="53"/>
      <c r="Q39" s="53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</row>
    <row r="40" spans="1:147" ht="15.75" x14ac:dyDescent="0.25">
      <c r="A40" s="7">
        <v>150</v>
      </c>
      <c r="B40" s="8">
        <v>6</v>
      </c>
      <c r="C40" s="7">
        <v>168</v>
      </c>
      <c r="D40" s="7">
        <v>4.5</v>
      </c>
      <c r="E40" s="7">
        <f t="shared" si="0"/>
        <v>159</v>
      </c>
      <c r="F40" s="1"/>
      <c r="G40" s="45" t="s">
        <v>44</v>
      </c>
      <c r="H40" s="45"/>
      <c r="I40" s="16" t="s">
        <v>5</v>
      </c>
      <c r="J40" s="46">
        <f>VLOOKUP(L22,A6:H20,6)</f>
        <v>0.65800000000000003</v>
      </c>
      <c r="K40" s="46"/>
      <c r="L40" s="46">
        <f>VLOOKUP(O22,A6:H20,6)</f>
        <v>0.32600000000000001</v>
      </c>
      <c r="M40" s="46"/>
      <c r="O40" s="20" t="s">
        <v>57</v>
      </c>
      <c r="P40" s="19" t="s">
        <v>59</v>
      </c>
      <c r="Q40" s="10">
        <v>3</v>
      </c>
      <c r="R40" s="1" t="s">
        <v>60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</row>
    <row r="41" spans="1:147" ht="15.75" x14ac:dyDescent="0.25">
      <c r="A41" s="7">
        <v>200</v>
      </c>
      <c r="B41" s="8">
        <v>8</v>
      </c>
      <c r="C41" s="7">
        <v>219</v>
      </c>
      <c r="D41" s="7">
        <v>6.3</v>
      </c>
      <c r="E41" s="7">
        <f t="shared" si="0"/>
        <v>206.4</v>
      </c>
      <c r="F41" s="1"/>
      <c r="G41" s="45" t="s">
        <v>45</v>
      </c>
      <c r="H41" s="45"/>
      <c r="I41" s="17"/>
      <c r="J41" s="46">
        <f>VLOOKUP(L22,A6:H20,7)</f>
        <v>4.32</v>
      </c>
      <c r="K41" s="46"/>
      <c r="L41" s="46">
        <f>VLOOKUP(O22,A6:H20,7)</f>
        <v>1.96</v>
      </c>
      <c r="M41" s="46"/>
      <c r="O41" s="20" t="s">
        <v>58</v>
      </c>
      <c r="P41" s="10">
        <f>E57/(PI()*Q40*(P36/1000))</f>
        <v>23.775748101627237</v>
      </c>
      <c r="Q41" s="10">
        <f>ROUNDUP(P41,0)</f>
        <v>24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</row>
    <row r="42" spans="1:147" ht="15.75" x14ac:dyDescent="0.25">
      <c r="A42" s="7">
        <v>250</v>
      </c>
      <c r="B42" s="8">
        <v>10</v>
      </c>
      <c r="C42" s="7">
        <v>273</v>
      </c>
      <c r="D42" s="7">
        <v>6.3</v>
      </c>
      <c r="E42" s="7">
        <f t="shared" si="0"/>
        <v>260.39999999999998</v>
      </c>
      <c r="F42" s="1"/>
      <c r="G42" s="45" t="s">
        <v>46</v>
      </c>
      <c r="H42" s="45"/>
      <c r="I42" s="16" t="s">
        <v>47</v>
      </c>
      <c r="J42" s="46"/>
      <c r="K42" s="46"/>
      <c r="L42" s="46">
        <f>VLOOKUP(O22,A6:H20,8)</f>
        <v>2283</v>
      </c>
      <c r="M42" s="46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</row>
    <row r="43" spans="1:147" ht="15.75" x14ac:dyDescent="0.25">
      <c r="A43" s="7">
        <v>300</v>
      </c>
      <c r="B43" s="8">
        <v>12</v>
      </c>
      <c r="C43" s="7">
        <v>324</v>
      </c>
      <c r="D43" s="7">
        <v>7.1</v>
      </c>
      <c r="E43" s="7">
        <f t="shared" si="0"/>
        <v>309.8</v>
      </c>
      <c r="F43" s="1"/>
      <c r="G43" s="27"/>
      <c r="H43" s="27"/>
      <c r="I43" s="24"/>
      <c r="J43" s="28"/>
      <c r="K43" s="28"/>
      <c r="L43" s="28"/>
      <c r="M43" s="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</row>
    <row r="44" spans="1:147" x14ac:dyDescent="0.25">
      <c r="A44" s="7">
        <v>350</v>
      </c>
      <c r="B44" s="8">
        <v>14</v>
      </c>
      <c r="C44" s="7">
        <v>356</v>
      </c>
      <c r="D44" s="7">
        <v>8</v>
      </c>
      <c r="E44" s="7">
        <f t="shared" si="0"/>
        <v>340</v>
      </c>
      <c r="F44" s="1"/>
      <c r="G44" s="29"/>
      <c r="H44" s="29"/>
      <c r="I44" s="2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</row>
    <row r="45" spans="1:147" x14ac:dyDescent="0.25">
      <c r="A45" s="7">
        <v>400</v>
      </c>
      <c r="B45" s="8">
        <v>16</v>
      </c>
      <c r="C45" s="7">
        <v>406</v>
      </c>
      <c r="D45" s="7">
        <v>8.8000000000000007</v>
      </c>
      <c r="E45" s="7">
        <f t="shared" si="0"/>
        <v>388.4</v>
      </c>
      <c r="F45" s="1"/>
      <c r="G45" s="29"/>
      <c r="H45" s="29"/>
      <c r="I45" s="2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</row>
    <row r="46" spans="1:147" x14ac:dyDescent="0.25">
      <c r="A46" s="7">
        <v>450</v>
      </c>
      <c r="B46" s="8">
        <v>18</v>
      </c>
      <c r="C46" s="7">
        <v>457</v>
      </c>
      <c r="D46" s="7">
        <v>10</v>
      </c>
      <c r="E46" s="7">
        <f t="shared" si="0"/>
        <v>437</v>
      </c>
      <c r="F46" s="1"/>
      <c r="G46" s="40" t="s">
        <v>61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</row>
    <row r="47" spans="1:147" x14ac:dyDescent="0.25">
      <c r="A47" s="7">
        <v>500</v>
      </c>
      <c r="B47" s="8">
        <v>20</v>
      </c>
      <c r="C47" s="7">
        <v>508</v>
      </c>
      <c r="D47" s="7">
        <v>11</v>
      </c>
      <c r="E47" s="7">
        <f t="shared" si="0"/>
        <v>486</v>
      </c>
      <c r="F47" s="1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</row>
    <row r="48" spans="1:147" x14ac:dyDescent="0.25">
      <c r="A48" s="7">
        <v>550</v>
      </c>
      <c r="B48" s="8">
        <v>22</v>
      </c>
      <c r="C48" s="7">
        <v>559</v>
      </c>
      <c r="D48" s="7">
        <v>12.5</v>
      </c>
      <c r="E48" s="7">
        <f t="shared" si="0"/>
        <v>534</v>
      </c>
      <c r="F48" s="1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</row>
    <row r="49" spans="1:147" x14ac:dyDescent="0.25">
      <c r="A49" s="7">
        <v>600</v>
      </c>
      <c r="B49" s="8">
        <v>24</v>
      </c>
      <c r="C49" s="7">
        <v>610</v>
      </c>
      <c r="D49" s="7">
        <v>12.5</v>
      </c>
      <c r="E49" s="7">
        <f t="shared" si="0"/>
        <v>585</v>
      </c>
      <c r="F49" s="1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</row>
    <row r="50" spans="1:147" x14ac:dyDescent="0.25">
      <c r="A50" s="7">
        <v>650</v>
      </c>
      <c r="B50" s="8">
        <v>26</v>
      </c>
      <c r="C50" s="7">
        <v>660</v>
      </c>
      <c r="D50" s="7">
        <v>14.2</v>
      </c>
      <c r="E50" s="7">
        <f t="shared" si="0"/>
        <v>631.6</v>
      </c>
      <c r="F50" s="1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</row>
    <row r="51" spans="1:147" x14ac:dyDescent="0.25">
      <c r="A51" s="1"/>
      <c r="B51" s="1"/>
      <c r="C51" s="1"/>
      <c r="D51" s="1"/>
      <c r="E51" s="1"/>
      <c r="F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</row>
    <row r="52" spans="1:147" ht="15.75" x14ac:dyDescent="0.25">
      <c r="A52" s="38" t="s">
        <v>62</v>
      </c>
      <c r="B52" s="38"/>
      <c r="C52" s="38"/>
      <c r="D52" s="38"/>
      <c r="E52" s="3" t="s">
        <v>63</v>
      </c>
      <c r="F52" s="3" t="s">
        <v>64</v>
      </c>
      <c r="G52" s="30" t="s">
        <v>65</v>
      </c>
      <c r="I52" s="38" t="s">
        <v>74</v>
      </c>
      <c r="J52" s="38"/>
      <c r="K52" s="38"/>
      <c r="L52" s="38"/>
      <c r="M52" s="38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</row>
    <row r="53" spans="1:147" ht="15.75" x14ac:dyDescent="0.25">
      <c r="A53" s="38"/>
      <c r="B53" s="38"/>
      <c r="C53" s="38"/>
      <c r="D53" s="38"/>
      <c r="E53" s="2">
        <f>O18-L19</f>
        <v>35</v>
      </c>
      <c r="F53" s="2">
        <f>O19-L18</f>
        <v>65</v>
      </c>
      <c r="G53" s="34">
        <f>(E53-F53)/LN(E53/F53)</f>
        <v>48.462196889334216</v>
      </c>
      <c r="I53" s="38"/>
      <c r="J53" s="38"/>
      <c r="K53" s="38"/>
      <c r="L53" s="38"/>
      <c r="M53" s="38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</row>
    <row r="54" spans="1:147" x14ac:dyDescent="0.25">
      <c r="A54" s="38" t="s">
        <v>66</v>
      </c>
      <c r="B54" s="38"/>
      <c r="C54" s="38"/>
      <c r="D54" s="38"/>
      <c r="E54" s="37" t="s">
        <v>67</v>
      </c>
      <c r="F54" s="37"/>
      <c r="G54" s="37"/>
      <c r="I54" s="37" t="s">
        <v>75</v>
      </c>
      <c r="J54" s="37"/>
      <c r="K54" s="37"/>
      <c r="L54" s="25" t="s">
        <v>76</v>
      </c>
      <c r="M54" s="32">
        <v>1572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</row>
    <row r="55" spans="1:147" x14ac:dyDescent="0.25">
      <c r="A55" s="38"/>
      <c r="B55" s="38"/>
      <c r="C55" s="38"/>
      <c r="D55" s="38"/>
      <c r="E55" s="39">
        <f>L21*J37*(L19-L18)</f>
        <v>174125</v>
      </c>
      <c r="F55" s="39"/>
      <c r="G55" s="39"/>
      <c r="I55" s="37" t="s">
        <v>77</v>
      </c>
      <c r="J55" s="37"/>
      <c r="K55" s="37"/>
      <c r="L55" s="25" t="s">
        <v>78</v>
      </c>
      <c r="M55" s="32">
        <v>36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</row>
    <row r="56" spans="1:147" x14ac:dyDescent="0.25">
      <c r="A56" s="38" t="s">
        <v>68</v>
      </c>
      <c r="B56" s="38"/>
      <c r="C56" s="38"/>
      <c r="D56" s="38"/>
      <c r="E56" s="37" t="s">
        <v>69</v>
      </c>
      <c r="F56" s="37"/>
      <c r="G56" s="37"/>
      <c r="I56" s="37" t="s">
        <v>79</v>
      </c>
      <c r="J56" s="37"/>
      <c r="K56" s="37"/>
      <c r="L56" s="25" t="s">
        <v>80</v>
      </c>
      <c r="M56" s="32">
        <v>2.0000000000000001E-4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</row>
    <row r="57" spans="1:147" x14ac:dyDescent="0.25">
      <c r="A57" s="38"/>
      <c r="B57" s="38"/>
      <c r="C57" s="38"/>
      <c r="D57" s="38"/>
      <c r="E57" s="39">
        <f>E55/(M54*G53)</f>
        <v>2.2856276964320119</v>
      </c>
      <c r="F57" s="39"/>
      <c r="G57" s="39"/>
      <c r="I57" s="37" t="s">
        <v>82</v>
      </c>
      <c r="J57" s="37"/>
      <c r="K57" s="37"/>
      <c r="L57" s="25" t="s">
        <v>81</v>
      </c>
      <c r="M57" s="32">
        <f>1/((1/O72)+M56+((P36/1000)*LN(P36/R36)/(2*M55))+((P36/1000)/((R36/1000)*L72)))</f>
        <v>1572.4197067686835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</row>
    <row r="58" spans="1:147" x14ac:dyDescent="0.25">
      <c r="A58" s="38" t="s">
        <v>70</v>
      </c>
      <c r="B58" s="38"/>
      <c r="C58" s="38"/>
      <c r="D58" s="38"/>
      <c r="E58" s="37" t="s">
        <v>71</v>
      </c>
      <c r="F58" s="37"/>
      <c r="G58" s="37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</row>
    <row r="59" spans="1:147" x14ac:dyDescent="0.25">
      <c r="A59" s="38"/>
      <c r="B59" s="38"/>
      <c r="C59" s="38"/>
      <c r="D59" s="38"/>
      <c r="E59" s="39">
        <f>E55</f>
        <v>174125</v>
      </c>
      <c r="F59" s="39"/>
      <c r="G59" s="39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</row>
    <row r="60" spans="1:147" x14ac:dyDescent="0.25">
      <c r="A60" s="38" t="s">
        <v>72</v>
      </c>
      <c r="B60" s="38"/>
      <c r="C60" s="38"/>
      <c r="D60" s="38"/>
      <c r="E60" s="37" t="s">
        <v>73</v>
      </c>
      <c r="F60" s="37"/>
      <c r="G60" s="3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</row>
    <row r="61" spans="1:147" x14ac:dyDescent="0.25">
      <c r="A61" s="38"/>
      <c r="B61" s="38"/>
      <c r="C61" s="38"/>
      <c r="D61" s="38"/>
      <c r="E61" s="39">
        <f>E59/(Q30+L37*(O18-O19))</f>
        <v>2.0152656736455912</v>
      </c>
      <c r="F61" s="39"/>
      <c r="G61" s="39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</row>
    <row r="62" spans="1:14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</row>
    <row r="63" spans="1:147" x14ac:dyDescent="0.25">
      <c r="A63" s="38" t="s">
        <v>83</v>
      </c>
      <c r="B63" s="38"/>
      <c r="C63" s="38"/>
      <c r="D63" s="1"/>
      <c r="E63" s="38" t="s">
        <v>89</v>
      </c>
      <c r="F63" s="38"/>
      <c r="G63" s="38"/>
      <c r="H63" s="38"/>
      <c r="I63" s="1"/>
      <c r="J63" s="47" t="s">
        <v>92</v>
      </c>
      <c r="K63" s="47"/>
      <c r="L63" s="47"/>
      <c r="M63" s="47"/>
      <c r="N63" s="47"/>
      <c r="O63" s="47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</row>
    <row r="64" spans="1:147" x14ac:dyDescent="0.25">
      <c r="A64" s="38"/>
      <c r="B64" s="38"/>
      <c r="C64" s="38"/>
      <c r="D64" s="1"/>
      <c r="E64" s="38"/>
      <c r="F64" s="38"/>
      <c r="G64" s="38"/>
      <c r="H64" s="38"/>
      <c r="I64" s="1"/>
      <c r="J64" s="47"/>
      <c r="K64" s="47"/>
      <c r="L64" s="47"/>
      <c r="M64" s="47"/>
      <c r="N64" s="47"/>
      <c r="O64" s="47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</row>
    <row r="65" spans="1:147" x14ac:dyDescent="0.25">
      <c r="A65" s="37" t="s">
        <v>84</v>
      </c>
      <c r="B65" s="37"/>
      <c r="C65" s="26">
        <f>1.3*(P36/1000)</f>
        <v>1.3259999999999999E-2</v>
      </c>
      <c r="D65" s="1"/>
      <c r="E65" s="37" t="s">
        <v>90</v>
      </c>
      <c r="F65" s="37"/>
      <c r="G65" s="37"/>
      <c r="H65" s="26">
        <f>(P36/1000)*(P36/1000)*PI()*Q41/4</f>
        <v>1.961107798076892E-3</v>
      </c>
      <c r="I65" s="1"/>
      <c r="J65" s="38" t="s">
        <v>100</v>
      </c>
      <c r="K65" s="38"/>
      <c r="L65" s="38"/>
      <c r="M65" s="38" t="s">
        <v>101</v>
      </c>
      <c r="N65" s="38"/>
      <c r="O65" s="38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</row>
    <row r="66" spans="1:147" x14ac:dyDescent="0.25">
      <c r="A66" s="37" t="s">
        <v>85</v>
      </c>
      <c r="B66" s="37"/>
      <c r="C66" s="26">
        <f>SQRT(3)*C65/2</f>
        <v>1.1483496854181655E-2</v>
      </c>
      <c r="D66" s="1"/>
      <c r="E66" s="37" t="s">
        <v>91</v>
      </c>
      <c r="F66" s="37"/>
      <c r="G66" s="37"/>
      <c r="H66" s="26">
        <f>PI()*((C69/1000)+(P36/1000)*Q41)</f>
        <v>0.99382017993862193</v>
      </c>
      <c r="I66" s="1"/>
      <c r="J66" s="38"/>
      <c r="K66" s="38"/>
      <c r="L66" s="38"/>
      <c r="M66" s="38"/>
      <c r="N66" s="38"/>
      <c r="O66" s="38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</row>
    <row r="67" spans="1:147" x14ac:dyDescent="0.25">
      <c r="A67" s="37" t="s">
        <v>86</v>
      </c>
      <c r="B67" s="37"/>
      <c r="C67" s="26">
        <f>C65*C66/2</f>
        <v>7.6135584143224367E-5</v>
      </c>
      <c r="D67" s="1"/>
      <c r="E67" s="37" t="s">
        <v>89</v>
      </c>
      <c r="F67" s="37"/>
      <c r="G67" s="37"/>
      <c r="H67" s="26">
        <f>4*(C68-H65)/H66</f>
        <v>8.2866139619443384E-3</v>
      </c>
      <c r="I67" s="1"/>
      <c r="J67" s="37" t="s">
        <v>98</v>
      </c>
      <c r="K67" s="37"/>
      <c r="L67" s="33">
        <f>4*L21/(PI()*(R36/1000)*(R36/1000)*Q41*K26)</f>
        <v>0.90942335088866089</v>
      </c>
      <c r="M67" s="37" t="s">
        <v>99</v>
      </c>
      <c r="N67" s="37"/>
      <c r="O67" s="33">
        <f>E61/(K30*(C68-H65))</f>
        <v>1.0140166223581408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</row>
    <row r="68" spans="1:147" x14ac:dyDescent="0.25">
      <c r="A68" s="37" t="s">
        <v>87</v>
      </c>
      <c r="B68" s="37"/>
      <c r="C68" s="26">
        <f>1.1*(Q41*C67/0.5)</f>
        <v>4.0199588427622468E-3</v>
      </c>
      <c r="D68" s="1"/>
      <c r="E68" s="1"/>
      <c r="F68" s="1"/>
      <c r="G68" s="1"/>
      <c r="H68" s="1"/>
      <c r="I68" s="36" t="str">
        <f>IF(L68&lt;2300,"laminer","türbülans")</f>
        <v>türbülans</v>
      </c>
      <c r="J68" s="37" t="s">
        <v>93</v>
      </c>
      <c r="K68" s="37"/>
      <c r="L68" s="33">
        <f>L67*(R36/1000)/(J40/1000000)</f>
        <v>9674.71649881554</v>
      </c>
      <c r="M68" s="37" t="s">
        <v>93</v>
      </c>
      <c r="N68" s="37"/>
      <c r="O68" s="33">
        <f>O67*H67/(L40/1000000)</f>
        <v>25775.350614958919</v>
      </c>
      <c r="P68" s="36" t="str">
        <f>IF(O68&lt;2300,"laminer","türbülans")</f>
        <v>türbülans</v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</row>
    <row r="69" spans="1:147" x14ac:dyDescent="0.25">
      <c r="A69" s="37" t="s">
        <v>88</v>
      </c>
      <c r="B69" s="37"/>
      <c r="C69" s="26">
        <f>(SQRT(C68*4/PI()))*1000</f>
        <v>71.542788363417145</v>
      </c>
      <c r="D69" s="1"/>
      <c r="E69" s="1"/>
      <c r="F69" s="1"/>
      <c r="G69" s="1"/>
      <c r="H69" s="1"/>
      <c r="I69" s="35"/>
      <c r="J69" s="37" t="s">
        <v>94</v>
      </c>
      <c r="K69" s="37"/>
      <c r="L69" s="33" t="str">
        <f>IF(L68&lt;2300,3.66+(0.0668*(R36/1000)*L68*J41/Q40*(1+0.04*((R36/1000)*L68*J41/Q40)^(2/3))),"YOK")</f>
        <v>YOK</v>
      </c>
      <c r="M69" s="37" t="s">
        <v>94</v>
      </c>
      <c r="N69" s="37"/>
      <c r="O69" s="33" t="str">
        <f>IF(O68&lt;2300,1.86*(O68*L41*H67/Q40)^(1/3),"YOK")</f>
        <v>YOK</v>
      </c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</row>
    <row r="70" spans="1:147" x14ac:dyDescent="0.25">
      <c r="A70" s="1"/>
      <c r="B70" s="1"/>
      <c r="C70" s="1"/>
      <c r="D70" s="1"/>
      <c r="E70" s="1"/>
      <c r="F70" s="1"/>
      <c r="G70" s="1"/>
      <c r="H70" s="1"/>
      <c r="I70" s="1"/>
      <c r="J70" s="37" t="s">
        <v>95</v>
      </c>
      <c r="K70" s="37"/>
      <c r="L70" s="33">
        <f>IF(L68&gt;2300,0.023*(L68^0.8)*J41^0.4,"YOK")</f>
        <v>63.74291686502275</v>
      </c>
      <c r="M70" s="37" t="s">
        <v>95</v>
      </c>
      <c r="N70" s="37"/>
      <c r="O70" s="33">
        <f>IF(O68&gt;2300,0.023*(O68^0.8)*(L41^0.3),"YOK")</f>
        <v>95.141133816421373</v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</row>
    <row r="71" spans="1:147" x14ac:dyDescent="0.25">
      <c r="A71" s="1"/>
      <c r="B71" s="1"/>
      <c r="C71" s="1"/>
      <c r="D71" s="1"/>
      <c r="E71" s="1"/>
      <c r="F71" s="1"/>
      <c r="G71" s="1"/>
      <c r="H71" s="1"/>
      <c r="I71" s="1"/>
      <c r="J71" s="37" t="s">
        <v>96</v>
      </c>
      <c r="K71" s="37"/>
      <c r="L71" s="33">
        <f>IF(L68&lt;2300,L69,L70)</f>
        <v>63.74291686502275</v>
      </c>
      <c r="M71" s="37" t="s">
        <v>96</v>
      </c>
      <c r="N71" s="37"/>
      <c r="O71" s="33">
        <f>IF(O68&lt;2300,O69,O70)</f>
        <v>95.141133816421373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</row>
    <row r="72" spans="1:147" x14ac:dyDescent="0.25">
      <c r="A72" s="1"/>
      <c r="B72" s="1"/>
      <c r="C72" s="1"/>
      <c r="D72" s="1"/>
      <c r="E72" s="1"/>
      <c r="F72" s="1"/>
      <c r="G72" s="1"/>
      <c r="H72" s="1"/>
      <c r="I72" s="1"/>
      <c r="J72" s="37" t="s">
        <v>97</v>
      </c>
      <c r="K72" s="37"/>
      <c r="L72" s="33">
        <f>L71*J38/(R36/1000)</f>
        <v>5745.9686488327652</v>
      </c>
      <c r="M72" s="37" t="s">
        <v>97</v>
      </c>
      <c r="N72" s="37"/>
      <c r="O72" s="33">
        <f>O71*L38/H67</f>
        <v>7749.880182787716</v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</row>
    <row r="73" spans="1:14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</row>
    <row r="74" spans="1:14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</row>
    <row r="75" spans="1:14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</row>
    <row r="76" spans="1:14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</row>
    <row r="77" spans="1:14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</row>
    <row r="78" spans="1:14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</row>
    <row r="79" spans="1:14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</row>
    <row r="80" spans="1:14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</row>
    <row r="81" spans="1:14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</row>
    <row r="82" spans="1:14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</row>
    <row r="83" spans="1:14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</row>
    <row r="84" spans="1:14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</row>
    <row r="85" spans="1:14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</row>
    <row r="86" spans="1:14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</row>
    <row r="87" spans="1:14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</row>
    <row r="88" spans="1:14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</row>
    <row r="89" spans="1:14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</row>
    <row r="90" spans="1:14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</row>
    <row r="91" spans="1:14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</row>
    <row r="92" spans="1:14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</row>
    <row r="93" spans="1:14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</row>
    <row r="94" spans="1:14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</row>
    <row r="95" spans="1:14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</row>
    <row r="96" spans="1:14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</row>
    <row r="97" spans="1:14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</row>
    <row r="98" spans="1:14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</row>
    <row r="99" spans="1:14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</row>
    <row r="100" spans="1:14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</row>
    <row r="101" spans="1:14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</row>
    <row r="102" spans="1:14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</row>
    <row r="103" spans="1:14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</row>
    <row r="104" spans="1:14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</row>
    <row r="105" spans="1:14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</row>
    <row r="106" spans="1:14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</row>
    <row r="107" spans="1:14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</row>
    <row r="108" spans="1:14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</row>
    <row r="109" spans="1:14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</row>
    <row r="110" spans="1:14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</row>
    <row r="111" spans="1:14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</row>
    <row r="112" spans="1:14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</row>
    <row r="113" spans="1:14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</row>
    <row r="114" spans="1:14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</row>
    <row r="115" spans="1:14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</row>
    <row r="116" spans="1:14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</row>
    <row r="117" spans="1:14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</row>
    <row r="118" spans="1:14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</row>
    <row r="119" spans="1:14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</row>
    <row r="120" spans="1:14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</row>
    <row r="121" spans="1:14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</row>
    <row r="122" spans="1:14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</row>
    <row r="123" spans="1:14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</row>
    <row r="124" spans="1:14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</row>
    <row r="125" spans="1:14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</row>
    <row r="126" spans="1:14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</row>
    <row r="127" spans="1:14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</row>
    <row r="128" spans="1:14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</row>
    <row r="129" spans="1:14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</row>
    <row r="130" spans="1:14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</row>
    <row r="131" spans="1:14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</row>
    <row r="132" spans="1:14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</row>
    <row r="133" spans="1:14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</row>
    <row r="134" spans="1:14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</row>
    <row r="135" spans="1:14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</row>
    <row r="136" spans="1:14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</row>
    <row r="137" spans="1:14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</row>
    <row r="138" spans="1:14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</row>
    <row r="139" spans="1:14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</row>
    <row r="140" spans="1:14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</row>
    <row r="141" spans="1:14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</row>
    <row r="142" spans="1:14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</row>
    <row r="143" spans="1:14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</row>
    <row r="144" spans="1:14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</row>
    <row r="145" spans="1:14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</row>
    <row r="146" spans="1:14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</row>
    <row r="147" spans="1:14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</row>
    <row r="148" spans="1:14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</row>
    <row r="149" spans="1:14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</row>
    <row r="150" spans="1:14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</row>
    <row r="151" spans="1:14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</row>
    <row r="152" spans="1:14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</row>
    <row r="153" spans="1:14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</row>
    <row r="154" spans="1:14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</row>
    <row r="155" spans="1:14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</row>
    <row r="156" spans="1:14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</row>
    <row r="157" spans="1:14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</row>
    <row r="158" spans="1:14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</row>
    <row r="159" spans="1:14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</row>
    <row r="160" spans="1:14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</row>
    <row r="161" spans="1:14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</row>
    <row r="162" spans="1:14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</row>
    <row r="163" spans="1:14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</row>
    <row r="164" spans="1:14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</row>
    <row r="165" spans="1:14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</row>
    <row r="166" spans="1:14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</row>
    <row r="167" spans="1:14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</row>
    <row r="168" spans="1:14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</row>
    <row r="169" spans="1:14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</row>
    <row r="170" spans="1:14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</row>
    <row r="171" spans="1:14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</row>
    <row r="172" spans="1:14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</row>
    <row r="173" spans="1:14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</row>
    <row r="174" spans="1:14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</row>
    <row r="175" spans="1:14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</row>
    <row r="176" spans="1:14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</row>
    <row r="177" spans="1:14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</row>
    <row r="178" spans="1:14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</row>
    <row r="179" spans="1:14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</row>
    <row r="180" spans="1:14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</row>
    <row r="181" spans="1:14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</row>
    <row r="182" spans="1:14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</row>
    <row r="183" spans="1:14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</row>
    <row r="184" spans="1:14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</row>
    <row r="185" spans="1:14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</row>
    <row r="186" spans="1:14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</row>
    <row r="187" spans="1:14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</row>
    <row r="188" spans="1:14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</row>
    <row r="189" spans="1:14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</row>
    <row r="190" spans="1:14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</row>
    <row r="191" spans="1:14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</row>
    <row r="192" spans="1:14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</row>
    <row r="193" spans="1:14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</row>
    <row r="194" spans="1:14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</row>
    <row r="195" spans="1:14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</row>
    <row r="196" spans="1:14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</row>
    <row r="197" spans="1:14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</row>
    <row r="198" spans="1:14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</row>
    <row r="199" spans="1:14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</row>
    <row r="200" spans="1:14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</row>
    <row r="201" spans="1:14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</row>
    <row r="202" spans="1:14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</row>
    <row r="203" spans="1:14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</row>
    <row r="204" spans="1:14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</row>
    <row r="205" spans="1:14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</row>
    <row r="206" spans="1:14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</row>
    <row r="207" spans="1:14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</row>
    <row r="208" spans="1:14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</row>
    <row r="209" spans="1:14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</row>
    <row r="210" spans="1:14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</row>
    <row r="211" spans="1:14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</row>
    <row r="212" spans="1:14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</row>
    <row r="213" spans="1:14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</row>
    <row r="214" spans="1:14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</row>
    <row r="215" spans="1:14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</row>
    <row r="216" spans="1:14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</row>
    <row r="217" spans="1:14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</row>
    <row r="218" spans="1:14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</row>
    <row r="219" spans="1:14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</row>
    <row r="220" spans="1:14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</row>
    <row r="221" spans="1:14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</row>
    <row r="222" spans="1:14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</row>
    <row r="223" spans="1:14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</row>
    <row r="224" spans="1:14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</row>
    <row r="225" spans="1:14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</row>
    <row r="226" spans="1:14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</row>
    <row r="227" spans="1:14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</row>
    <row r="228" spans="1:14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</row>
    <row r="229" spans="1:14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</row>
    <row r="230" spans="1:14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</row>
    <row r="231" spans="1:14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</row>
    <row r="232" spans="1:14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</row>
    <row r="233" spans="1:14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</row>
    <row r="234" spans="1:14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</row>
    <row r="235" spans="1:14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</row>
    <row r="236" spans="1:14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</row>
    <row r="237" spans="1:14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</row>
    <row r="238" spans="1:14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</row>
    <row r="239" spans="1:14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</row>
    <row r="240" spans="1:14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</row>
    <row r="241" spans="1:14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</row>
    <row r="242" spans="1:14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</row>
    <row r="243" spans="1:14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</row>
    <row r="244" spans="1:14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</row>
    <row r="245" spans="1:14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</row>
    <row r="246" spans="1:14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</row>
    <row r="247" spans="1:14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</row>
    <row r="248" spans="1:14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</row>
    <row r="249" spans="1:14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</row>
    <row r="250" spans="1:14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</row>
    <row r="251" spans="1:14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</row>
    <row r="252" spans="1:14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</row>
    <row r="253" spans="1:14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</row>
    <row r="254" spans="1:14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</row>
    <row r="255" spans="1:14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</row>
    <row r="256" spans="1:14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</row>
    <row r="257" spans="1:14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</row>
    <row r="258" spans="1:14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</row>
    <row r="259" spans="1:14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</row>
    <row r="260" spans="1:14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</row>
    <row r="261" spans="1:14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</row>
    <row r="262" spans="1:14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</row>
    <row r="263" spans="1:14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</row>
    <row r="264" spans="1:14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</row>
    <row r="265" spans="1:14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</row>
    <row r="266" spans="1:14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</row>
    <row r="267" spans="1:14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</row>
    <row r="268" spans="1:14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</row>
    <row r="269" spans="1:14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</row>
    <row r="270" spans="1:14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</row>
    <row r="271" spans="1:14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</row>
    <row r="272" spans="1:14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</row>
    <row r="273" spans="1:14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</row>
    <row r="274" spans="1:14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</row>
    <row r="275" spans="1:14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</row>
    <row r="276" spans="1:14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</row>
    <row r="277" spans="1:14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</row>
    <row r="278" spans="1:14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</row>
    <row r="279" spans="1:14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</row>
    <row r="280" spans="1:14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</row>
    <row r="281" spans="1:14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</row>
    <row r="282" spans="1:14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</row>
    <row r="283" spans="1:14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</row>
    <row r="284" spans="1:14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</row>
    <row r="285" spans="1:14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</row>
    <row r="286" spans="1:14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</row>
    <row r="287" spans="1:14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</row>
    <row r="288" spans="1:14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</row>
    <row r="289" spans="1:14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</row>
    <row r="290" spans="1:14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</row>
    <row r="291" spans="1:14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</row>
    <row r="292" spans="1:14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</row>
    <row r="293" spans="1:14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</row>
    <row r="294" spans="1:14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</row>
    <row r="295" spans="1:14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</row>
    <row r="296" spans="1:14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</row>
    <row r="297" spans="1:14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</row>
    <row r="298" spans="1:14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</row>
    <row r="299" spans="1:14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</row>
    <row r="300" spans="1:14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</row>
    <row r="301" spans="1:14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</row>
    <row r="302" spans="1:14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</row>
    <row r="303" spans="1:14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</row>
    <row r="304" spans="1:14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</row>
    <row r="305" spans="1:14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</row>
    <row r="306" spans="1:14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</row>
    <row r="307" spans="1:14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</row>
    <row r="308" spans="1:14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</row>
    <row r="309" spans="1:14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</row>
    <row r="310" spans="1:14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</row>
    <row r="311" spans="1:14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</row>
    <row r="312" spans="1:14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</row>
    <row r="313" spans="1:14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</row>
    <row r="314" spans="1:14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</row>
    <row r="315" spans="1:14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</row>
    <row r="316" spans="1:14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</row>
    <row r="317" spans="1:14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</row>
    <row r="318" spans="1:14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</row>
    <row r="319" spans="1:14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</row>
    <row r="320" spans="1:14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</row>
    <row r="321" spans="1:14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</row>
    <row r="322" spans="1:14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</row>
    <row r="323" spans="1:14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</row>
    <row r="324" spans="1:14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</row>
    <row r="325" spans="1:14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</row>
    <row r="326" spans="1:14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</row>
    <row r="327" spans="1:14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</row>
    <row r="328" spans="1:14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</row>
    <row r="329" spans="1:14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</row>
    <row r="330" spans="1:14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</row>
    <row r="331" spans="1:14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</row>
    <row r="332" spans="1:14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</row>
    <row r="333" spans="1:14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</row>
    <row r="334" spans="1:14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</row>
    <row r="335" spans="1:14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</row>
    <row r="336" spans="1:14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</row>
    <row r="337" spans="1:14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</row>
    <row r="338" spans="1:14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</row>
    <row r="339" spans="1:14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</row>
    <row r="340" spans="1:14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</row>
    <row r="341" spans="1:14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</row>
    <row r="342" spans="1:14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</row>
    <row r="343" spans="1:14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</row>
    <row r="344" spans="1:14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</row>
    <row r="345" spans="1:14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</row>
    <row r="346" spans="1:14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</row>
    <row r="347" spans="1:14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</row>
    <row r="348" spans="1:14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</row>
    <row r="349" spans="1:14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</row>
    <row r="350" spans="1:14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</row>
    <row r="351" spans="1:14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</row>
    <row r="352" spans="1:14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</row>
    <row r="353" spans="1:14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</row>
    <row r="354" spans="1:14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</row>
    <row r="355" spans="1:14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</row>
    <row r="356" spans="1:14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</row>
    <row r="357" spans="1:14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</row>
    <row r="358" spans="1:14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</row>
    <row r="359" spans="1:14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</row>
    <row r="360" spans="1:14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</row>
    <row r="361" spans="1:14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</row>
    <row r="362" spans="1:14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</row>
    <row r="363" spans="1:14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</row>
    <row r="364" spans="1:14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</row>
    <row r="365" spans="1:14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</row>
    <row r="366" spans="1:14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</row>
    <row r="367" spans="1:14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</row>
    <row r="368" spans="1:14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</row>
    <row r="369" spans="1:14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</row>
    <row r="370" spans="1:14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</row>
    <row r="371" spans="1:14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</row>
    <row r="372" spans="1:14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</row>
    <row r="373" spans="1:14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</row>
    <row r="374" spans="1:14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</row>
    <row r="375" spans="1:14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</row>
    <row r="376" spans="1:14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</row>
    <row r="377" spans="1:14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</row>
    <row r="378" spans="1:14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</row>
    <row r="379" spans="1:14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</row>
    <row r="380" spans="1:14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</row>
    <row r="381" spans="1:14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</row>
    <row r="382" spans="1:14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</row>
    <row r="383" spans="1:14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</row>
    <row r="384" spans="1:14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</row>
    <row r="385" spans="1:14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</row>
    <row r="386" spans="1:14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</row>
    <row r="387" spans="1:14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</row>
    <row r="388" spans="1:14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</row>
    <row r="389" spans="1:14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</row>
    <row r="390" spans="1:14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</row>
    <row r="391" spans="1:14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</row>
    <row r="392" spans="1:14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</row>
    <row r="393" spans="1:14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</row>
    <row r="394" spans="1:14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</row>
    <row r="395" spans="1:14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</row>
    <row r="396" spans="1:14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</row>
    <row r="397" spans="1:14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</row>
    <row r="398" spans="1:14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</row>
    <row r="399" spans="1:14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</row>
    <row r="400" spans="1:14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</row>
    <row r="401" spans="1:14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</row>
    <row r="402" spans="1:14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</row>
    <row r="403" spans="1:14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</row>
    <row r="404" spans="1:14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</row>
    <row r="405" spans="1:14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</row>
    <row r="406" spans="1:14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</row>
    <row r="407" spans="1:14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</row>
    <row r="408" spans="1:14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</row>
    <row r="409" spans="1:14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</row>
    <row r="410" spans="1:14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</row>
    <row r="411" spans="1:14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</row>
    <row r="412" spans="1:14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</row>
    <row r="413" spans="1:14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</row>
    <row r="414" spans="1:14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</row>
    <row r="415" spans="1:14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</row>
    <row r="416" spans="1:14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</row>
    <row r="417" spans="1:14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</row>
    <row r="418" spans="1:14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</row>
    <row r="419" spans="1:14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</row>
    <row r="420" spans="1:14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</row>
    <row r="421" spans="1:14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</row>
    <row r="422" spans="1:14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</row>
    <row r="423" spans="1:14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</row>
    <row r="424" spans="1:14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</row>
    <row r="425" spans="1:14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</row>
    <row r="426" spans="1:14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</row>
    <row r="427" spans="1:14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</row>
    <row r="428" spans="1:14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</row>
    <row r="429" spans="1:14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</row>
    <row r="430" spans="1:14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</row>
    <row r="431" spans="1:14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</row>
    <row r="432" spans="1:14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</row>
    <row r="433" spans="1:14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</row>
    <row r="434" spans="1:14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</row>
    <row r="435" spans="1:14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</row>
    <row r="436" spans="1:14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</row>
    <row r="437" spans="1:14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</row>
    <row r="438" spans="1:14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</row>
    <row r="439" spans="1:14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</row>
    <row r="440" spans="1:14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</row>
    <row r="441" spans="1:14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</row>
    <row r="442" spans="1:14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</row>
    <row r="443" spans="1:14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</row>
    <row r="444" spans="1:14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</row>
    <row r="445" spans="1:14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</row>
    <row r="446" spans="1:14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</row>
    <row r="447" spans="1:14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</row>
    <row r="448" spans="1:14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</row>
    <row r="449" spans="1:14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</row>
    <row r="450" spans="1:14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</row>
    <row r="451" spans="1:14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</row>
    <row r="452" spans="1:14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</row>
    <row r="453" spans="1:14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</row>
    <row r="454" spans="1:14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</row>
    <row r="455" spans="1:14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</row>
    <row r="456" spans="1:14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</row>
    <row r="457" spans="1:14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</row>
    <row r="458" spans="1:14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</row>
    <row r="459" spans="1:14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</row>
    <row r="460" spans="1:14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</row>
    <row r="461" spans="1:14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</row>
    <row r="462" spans="1:14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</row>
    <row r="463" spans="1:14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</row>
    <row r="464" spans="1:14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</row>
    <row r="465" spans="1:14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</row>
    <row r="466" spans="1:14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</row>
    <row r="467" spans="1:14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</row>
    <row r="468" spans="1:14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</row>
    <row r="469" spans="1:14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</row>
    <row r="470" spans="1:14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</row>
    <row r="471" spans="1:14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</row>
    <row r="472" spans="1:14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</row>
    <row r="473" spans="1:14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</row>
    <row r="474" spans="1:14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</row>
    <row r="475" spans="1:14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</row>
    <row r="476" spans="1:14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</row>
    <row r="477" spans="1:14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</row>
    <row r="478" spans="1:14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</row>
    <row r="479" spans="1:14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</row>
    <row r="480" spans="1:14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</row>
    <row r="481" spans="1:14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</row>
    <row r="482" spans="1:14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</row>
    <row r="483" spans="1:14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</row>
    <row r="484" spans="1:14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</row>
    <row r="485" spans="1:14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</row>
    <row r="486" spans="1:14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</row>
    <row r="487" spans="1:14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</row>
    <row r="488" spans="1:14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</row>
    <row r="489" spans="1:14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</row>
    <row r="490" spans="1:14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</row>
    <row r="491" spans="1:14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</row>
    <row r="492" spans="1:14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</row>
    <row r="493" spans="1:14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</row>
    <row r="494" spans="1:14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</row>
    <row r="495" spans="1:14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</row>
    <row r="496" spans="1:14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</row>
    <row r="497" spans="1:14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</row>
    <row r="498" spans="1:14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</row>
    <row r="499" spans="1:14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</row>
    <row r="500" spans="1:14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</row>
    <row r="501" spans="1:14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</row>
    <row r="502" spans="1:14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</row>
    <row r="503" spans="1:14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</row>
    <row r="504" spans="1:14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</row>
    <row r="505" spans="1:14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</row>
    <row r="506" spans="1:14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</row>
    <row r="507" spans="1:14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</row>
    <row r="508" spans="1:14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</row>
    <row r="509" spans="1:14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</row>
    <row r="510" spans="1:14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</row>
    <row r="511" spans="1:14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</row>
    <row r="512" spans="1:14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</row>
    <row r="513" spans="1:14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</row>
    <row r="514" spans="1:14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</row>
    <row r="515" spans="1:14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</row>
    <row r="516" spans="1:14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</row>
    <row r="517" spans="1:14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</row>
    <row r="518" spans="1:14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</row>
    <row r="519" spans="1:14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</row>
    <row r="520" spans="1:14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</row>
    <row r="521" spans="1:14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</row>
    <row r="522" spans="1:14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</row>
    <row r="523" spans="1:14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</row>
    <row r="524" spans="1:14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</row>
    <row r="525" spans="1:14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</row>
    <row r="526" spans="1:14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</row>
    <row r="527" spans="1:14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</row>
  </sheetData>
  <mergeCells count="87">
    <mergeCell ref="J71:K71"/>
    <mergeCell ref="J72:K72"/>
    <mergeCell ref="J67:K67"/>
    <mergeCell ref="J68:K68"/>
    <mergeCell ref="M67:N67"/>
    <mergeCell ref="M68:N68"/>
    <mergeCell ref="M69:N69"/>
    <mergeCell ref="M70:N70"/>
    <mergeCell ref="M71:N71"/>
    <mergeCell ref="M72:N72"/>
    <mergeCell ref="J63:O64"/>
    <mergeCell ref="J65:L66"/>
    <mergeCell ref="M65:O66"/>
    <mergeCell ref="J69:K69"/>
    <mergeCell ref="J70:K70"/>
    <mergeCell ref="A69:B69"/>
    <mergeCell ref="E63:H64"/>
    <mergeCell ref="E65:G65"/>
    <mergeCell ref="E66:G66"/>
    <mergeCell ref="E67:G67"/>
    <mergeCell ref="A63:C64"/>
    <mergeCell ref="A65:B65"/>
    <mergeCell ref="A66:B66"/>
    <mergeCell ref="A67:B67"/>
    <mergeCell ref="A68:B68"/>
    <mergeCell ref="G39:H39"/>
    <mergeCell ref="G40:H40"/>
    <mergeCell ref="G41:H41"/>
    <mergeCell ref="O38:Q39"/>
    <mergeCell ref="F22:I26"/>
    <mergeCell ref="F27:I30"/>
    <mergeCell ref="J40:K40"/>
    <mergeCell ref="J41:K41"/>
    <mergeCell ref="L36:M36"/>
    <mergeCell ref="L37:M37"/>
    <mergeCell ref="L38:M38"/>
    <mergeCell ref="L39:M39"/>
    <mergeCell ref="L40:M40"/>
    <mergeCell ref="A1:Q3"/>
    <mergeCell ref="G35:H35"/>
    <mergeCell ref="G36:H36"/>
    <mergeCell ref="G37:H37"/>
    <mergeCell ref="G38:H38"/>
    <mergeCell ref="L34:M34"/>
    <mergeCell ref="A4:H4"/>
    <mergeCell ref="A22:E23"/>
    <mergeCell ref="A24:B24"/>
    <mergeCell ref="J4:Q13"/>
    <mergeCell ref="J17:L17"/>
    <mergeCell ref="M17:P17"/>
    <mergeCell ref="J15:P16"/>
    <mergeCell ref="G34:I34"/>
    <mergeCell ref="J34:K34"/>
    <mergeCell ref="J35:K35"/>
    <mergeCell ref="G46:Q50"/>
    <mergeCell ref="A52:D53"/>
    <mergeCell ref="J24:P24"/>
    <mergeCell ref="J28:Q28"/>
    <mergeCell ref="O32:R33"/>
    <mergeCell ref="O35:O36"/>
    <mergeCell ref="G42:H42"/>
    <mergeCell ref="J36:K36"/>
    <mergeCell ref="J37:K37"/>
    <mergeCell ref="J38:K38"/>
    <mergeCell ref="L41:M41"/>
    <mergeCell ref="L42:M42"/>
    <mergeCell ref="G32:M33"/>
    <mergeCell ref="J39:K39"/>
    <mergeCell ref="J42:K42"/>
    <mergeCell ref="L35:M35"/>
    <mergeCell ref="A54:D55"/>
    <mergeCell ref="E54:G54"/>
    <mergeCell ref="E55:G55"/>
    <mergeCell ref="A56:D57"/>
    <mergeCell ref="E56:G56"/>
    <mergeCell ref="A58:D59"/>
    <mergeCell ref="E58:G58"/>
    <mergeCell ref="E57:G57"/>
    <mergeCell ref="E59:G59"/>
    <mergeCell ref="A60:D61"/>
    <mergeCell ref="E60:G60"/>
    <mergeCell ref="E61:G61"/>
    <mergeCell ref="I54:K54"/>
    <mergeCell ref="I55:K55"/>
    <mergeCell ref="I56:K56"/>
    <mergeCell ref="I57:K57"/>
    <mergeCell ref="I52:M53"/>
  </mergeCells>
  <dataValidations disablePrompts="1" count="2">
    <dataValidation type="list" allowBlank="1" showInputMessage="1" showErrorMessage="1" promptTitle="akışkan özelliği" sqref="P18">
      <formula1>$P$20:$P$21</formula1>
    </dataValidation>
    <dataValidation type="list" allowBlank="1" showInputMessage="1" showErrorMessage="1" promptTitle="borular" sqref="O35:O36">
      <formula1>$B$26:$B$50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Sayfa1!DışVeri_1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2016-07-02T08:02:45Z</dcterms:modified>
</cp:coreProperties>
</file>